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11955" tabRatio="855" activeTab="1"/>
  </bookViews>
  <sheets>
    <sheet name="emissioni in ingresso" sheetId="1" r:id="rId1"/>
    <sheet name="modello" sheetId="2" r:id="rId2"/>
    <sheet name="RF tot" sheetId="3" r:id="rId3"/>
    <sheet name="RF" sheetId="4" r:id="rId4"/>
    <sheet name="emissioni e assorbimenti" sheetId="5" r:id="rId5"/>
    <sheet name="T globale" sheetId="6" r:id="rId6"/>
    <sheet name="CO2" sheetId="7" r:id="rId7"/>
    <sheet name="N20" sheetId="8" r:id="rId8"/>
    <sheet name="CH4" sheetId="9" r:id="rId9"/>
  </sheets>
  <definedNames/>
  <calcPr fullCalcOnLoad="1"/>
</workbook>
</file>

<file path=xl/comments1.xml><?xml version="1.0" encoding="utf-8"?>
<comments xmlns="http://schemas.openxmlformats.org/spreadsheetml/2006/main">
  <authors>
    <author>famiglia zucali</author>
  </authors>
  <commentList>
    <comment ref="H74" authorId="0">
      <text>
        <r>
          <rPr>
            <b/>
            <sz val="8"/>
            <rFont val="Tahoma"/>
            <family val="0"/>
          </rPr>
          <t xml:space="preserve">se non ti ricordi, riguarda il modulo 1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<sst xmlns="http://schemas.openxmlformats.org/spreadsheetml/2006/main" count="159" uniqueCount="116">
  <si>
    <t>TEMPO</t>
  </si>
  <si>
    <t>anni</t>
  </si>
  <si>
    <t xml:space="preserve"> </t>
  </si>
  <si>
    <r>
      <t>Em.</t>
    </r>
    <r>
      <rPr>
        <sz val="8"/>
        <color indexed="8"/>
        <rFont val="Calibri"/>
        <family val="2"/>
      </rPr>
      <t>fossili</t>
    </r>
  </si>
  <si>
    <r>
      <t>Em.</t>
    </r>
    <r>
      <rPr>
        <sz val="8"/>
        <color indexed="8"/>
        <rFont val="Calibri"/>
        <family val="2"/>
      </rPr>
      <t>land-use</t>
    </r>
  </si>
  <si>
    <r>
      <t>Ass.</t>
    </r>
    <r>
      <rPr>
        <sz val="8"/>
        <color indexed="8"/>
        <rFont val="Calibri"/>
        <family val="2"/>
      </rPr>
      <t>Biosfera</t>
    </r>
  </si>
  <si>
    <r>
      <t>Ass.</t>
    </r>
    <r>
      <rPr>
        <sz val="8"/>
        <color indexed="8"/>
        <rFont val="Calibri"/>
        <family val="2"/>
      </rPr>
      <t>oceani</t>
    </r>
  </si>
  <si>
    <r>
      <rPr>
        <sz val="11"/>
        <color indexed="8"/>
        <rFont val="Calibri"/>
        <family val="2"/>
      </rPr>
      <t>∆CO</t>
    </r>
    <r>
      <rPr>
        <sz val="8"/>
        <color indexed="8"/>
        <rFont val="Calibri"/>
        <family val="2"/>
      </rPr>
      <t>2</t>
    </r>
  </si>
  <si>
    <t>ppm/anno</t>
  </si>
  <si>
    <r>
      <t>∂∑CO</t>
    </r>
    <r>
      <rPr>
        <sz val="8"/>
        <color indexed="8"/>
        <rFont val="Calibri"/>
        <family val="2"/>
      </rPr>
      <t>2</t>
    </r>
  </si>
  <si>
    <r>
      <t>∂pCO</t>
    </r>
    <r>
      <rPr>
        <sz val="8"/>
        <color indexed="8"/>
        <rFont val="Calibri"/>
        <family val="2"/>
      </rPr>
      <t>2s</t>
    </r>
  </si>
  <si>
    <r>
      <t>r</t>
    </r>
    <r>
      <rPr>
        <sz val="8"/>
        <color indexed="8"/>
        <rFont val="Calibri"/>
        <family val="2"/>
      </rPr>
      <t>s</t>
    </r>
    <r>
      <rPr>
        <sz val="11"/>
        <color indexed="8"/>
        <rFont val="Calibri"/>
        <family val="2"/>
      </rPr>
      <t>(t)</t>
    </r>
  </si>
  <si>
    <t>Anno</t>
  </si>
  <si>
    <r>
      <t>pCO</t>
    </r>
    <r>
      <rPr>
        <sz val="8"/>
        <color indexed="8"/>
        <rFont val="Calibri"/>
        <family val="2"/>
      </rPr>
      <t>2s</t>
    </r>
  </si>
  <si>
    <t>ppm</t>
  </si>
  <si>
    <r>
      <t>CO</t>
    </r>
    <r>
      <rPr>
        <sz val="8"/>
        <color indexed="8"/>
        <rFont val="Calibri"/>
        <family val="2"/>
      </rPr>
      <t>2atm</t>
    </r>
  </si>
  <si>
    <r>
      <t>T</t>
    </r>
    <r>
      <rPr>
        <sz val="8"/>
        <color indexed="8"/>
        <rFont val="Calibri"/>
        <family val="2"/>
      </rPr>
      <t>0</t>
    </r>
  </si>
  <si>
    <t>h</t>
  </si>
  <si>
    <t>c</t>
  </si>
  <si>
    <r>
      <t>A</t>
    </r>
    <r>
      <rPr>
        <sz val="8"/>
        <color indexed="8"/>
        <rFont val="Calibri"/>
        <family val="2"/>
      </rPr>
      <t>oc</t>
    </r>
  </si>
  <si>
    <t>Fas *rs</t>
  </si>
  <si>
    <t>∫Fas*rs dt</t>
  </si>
  <si>
    <t>∆T</t>
  </si>
  <si>
    <t>°C</t>
  </si>
  <si>
    <t>µmoli/Kg</t>
  </si>
  <si>
    <r>
      <t>RF (CO</t>
    </r>
    <r>
      <rPr>
        <sz val="8"/>
        <color indexed="8"/>
        <rFont val="Calibri"/>
        <family val="2"/>
      </rPr>
      <t>2</t>
    </r>
    <r>
      <rPr>
        <sz val="11"/>
        <color indexed="8"/>
        <rFont val="Calibri"/>
        <family val="2"/>
      </rPr>
      <t>)</t>
    </r>
  </si>
  <si>
    <r>
      <t>W/m</t>
    </r>
    <r>
      <rPr>
        <sz val="8"/>
        <color indexed="8"/>
        <rFont val="Calibri"/>
        <family val="2"/>
      </rPr>
      <t>2</t>
    </r>
  </si>
  <si>
    <t>RF tot</t>
  </si>
  <si>
    <t>R(t)</t>
  </si>
  <si>
    <t>S</t>
  </si>
  <si>
    <t>β</t>
  </si>
  <si>
    <r>
      <t>CH</t>
    </r>
    <r>
      <rPr>
        <sz val="8"/>
        <color indexed="8"/>
        <rFont val="Calibri"/>
        <family val="2"/>
      </rPr>
      <t>4</t>
    </r>
  </si>
  <si>
    <t>ppb</t>
  </si>
  <si>
    <r>
      <t>N</t>
    </r>
    <r>
      <rPr>
        <sz val="8"/>
        <color indexed="8"/>
        <rFont val="Calibri"/>
        <family val="2"/>
      </rPr>
      <t>2</t>
    </r>
    <r>
      <rPr>
        <sz val="11"/>
        <color indexed="8"/>
        <rFont val="Calibri"/>
        <family val="2"/>
      </rPr>
      <t>O</t>
    </r>
  </si>
  <si>
    <r>
      <t>O</t>
    </r>
    <r>
      <rPr>
        <sz val="8"/>
        <color indexed="8"/>
        <rFont val="Calibri"/>
        <family val="2"/>
      </rPr>
      <t>3</t>
    </r>
  </si>
  <si>
    <t>Du</t>
  </si>
  <si>
    <t>E nat. S</t>
  </si>
  <si>
    <t>Tg S</t>
  </si>
  <si>
    <t>m</t>
  </si>
  <si>
    <t>tempo</t>
  </si>
  <si>
    <r>
      <t>Emiss. CH</t>
    </r>
    <r>
      <rPr>
        <b/>
        <i/>
        <sz val="8"/>
        <color indexed="8"/>
        <rFont val="Calibri"/>
        <family val="2"/>
      </rPr>
      <t xml:space="preserve">4  </t>
    </r>
  </si>
  <si>
    <t>Ass.</t>
  </si>
  <si>
    <r>
      <t>τ(CH</t>
    </r>
    <r>
      <rPr>
        <b/>
        <i/>
        <sz val="8"/>
        <color indexed="8"/>
        <rFont val="Calibri"/>
        <family val="2"/>
      </rPr>
      <t>4</t>
    </r>
    <r>
      <rPr>
        <b/>
        <i/>
        <sz val="11"/>
        <color indexed="8"/>
        <rFont val="Calibri"/>
        <family val="2"/>
      </rPr>
      <t>)</t>
    </r>
  </si>
  <si>
    <r>
      <t>∆ CH</t>
    </r>
    <r>
      <rPr>
        <b/>
        <i/>
        <sz val="8"/>
        <color indexed="8"/>
        <rFont val="Calibri"/>
        <family val="2"/>
      </rPr>
      <t>4</t>
    </r>
  </si>
  <si>
    <t>Conc.</t>
  </si>
  <si>
    <r>
      <t>RF(CH</t>
    </r>
    <r>
      <rPr>
        <b/>
        <i/>
        <sz val="8"/>
        <color indexed="8"/>
        <rFont val="Calibri"/>
        <family val="2"/>
      </rPr>
      <t>4</t>
    </r>
    <r>
      <rPr>
        <b/>
        <i/>
        <sz val="11"/>
        <color indexed="8"/>
        <rFont val="Calibri"/>
        <family val="2"/>
      </rPr>
      <t>)</t>
    </r>
  </si>
  <si>
    <r>
      <t>Emiss. N</t>
    </r>
    <r>
      <rPr>
        <b/>
        <i/>
        <sz val="8"/>
        <color indexed="8"/>
        <rFont val="Calibri"/>
        <family val="2"/>
      </rPr>
      <t>2</t>
    </r>
    <r>
      <rPr>
        <b/>
        <i/>
        <sz val="11"/>
        <color indexed="8"/>
        <rFont val="Calibri"/>
        <family val="2"/>
      </rPr>
      <t>O</t>
    </r>
  </si>
  <si>
    <r>
      <t>τ(N</t>
    </r>
    <r>
      <rPr>
        <b/>
        <i/>
        <sz val="8"/>
        <color indexed="8"/>
        <rFont val="Calibri"/>
        <family val="2"/>
      </rPr>
      <t>2</t>
    </r>
    <r>
      <rPr>
        <b/>
        <i/>
        <sz val="11"/>
        <color indexed="8"/>
        <rFont val="Calibri"/>
        <family val="2"/>
      </rPr>
      <t>O)</t>
    </r>
  </si>
  <si>
    <r>
      <t>∆ N</t>
    </r>
    <r>
      <rPr>
        <b/>
        <i/>
        <sz val="8"/>
        <color indexed="8"/>
        <rFont val="Calibri"/>
        <family val="2"/>
      </rPr>
      <t>2</t>
    </r>
    <r>
      <rPr>
        <b/>
        <i/>
        <sz val="11"/>
        <color indexed="8"/>
        <rFont val="Calibri"/>
        <family val="2"/>
      </rPr>
      <t>O</t>
    </r>
  </si>
  <si>
    <t>RF(N2O)</t>
  </si>
  <si>
    <t>r(OH)</t>
  </si>
  <si>
    <t>eNOx</t>
  </si>
  <si>
    <t>eCO</t>
  </si>
  <si>
    <t>e VOC</t>
  </si>
  <si>
    <r>
      <t>1/τ(CH</t>
    </r>
    <r>
      <rPr>
        <b/>
        <i/>
        <sz val="8"/>
        <color indexed="8"/>
        <rFont val="Calibri"/>
        <family val="2"/>
      </rPr>
      <t>4</t>
    </r>
    <r>
      <rPr>
        <b/>
        <i/>
        <sz val="11"/>
        <color indexed="8"/>
        <rFont val="Calibri"/>
        <family val="2"/>
      </rPr>
      <t>)</t>
    </r>
  </si>
  <si>
    <t>LN(rOH)</t>
  </si>
  <si>
    <r>
      <t>O</t>
    </r>
    <r>
      <rPr>
        <b/>
        <i/>
        <sz val="8"/>
        <color indexed="8"/>
        <rFont val="Calibri"/>
        <family val="2"/>
      </rPr>
      <t>3</t>
    </r>
  </si>
  <si>
    <r>
      <t>RF(O</t>
    </r>
    <r>
      <rPr>
        <b/>
        <i/>
        <sz val="8"/>
        <color indexed="8"/>
        <rFont val="Calibri"/>
        <family val="2"/>
      </rPr>
      <t>3)</t>
    </r>
  </si>
  <si>
    <r>
      <t>RF(H</t>
    </r>
    <r>
      <rPr>
        <b/>
        <i/>
        <sz val="8"/>
        <color indexed="8"/>
        <rFont val="Calibri"/>
        <family val="2"/>
      </rPr>
      <t>2</t>
    </r>
    <r>
      <rPr>
        <b/>
        <i/>
        <sz val="11"/>
        <color indexed="8"/>
        <rFont val="Calibri"/>
        <family val="2"/>
      </rPr>
      <t>O)</t>
    </r>
  </si>
  <si>
    <t>RF(S-direct)</t>
  </si>
  <si>
    <t>RF(S-indirect)</t>
  </si>
  <si>
    <t>RF(OC+BC,direct)</t>
  </si>
  <si>
    <t>ppb/anno</t>
  </si>
  <si>
    <t>ppb/ano</t>
  </si>
  <si>
    <t>TgN/anno</t>
  </si>
  <si>
    <t>Tg/anno</t>
  </si>
  <si>
    <t>1/anni</t>
  </si>
  <si>
    <t>TgS/anno</t>
  </si>
  <si>
    <r>
      <t>E nat. CH</t>
    </r>
    <r>
      <rPr>
        <sz val="8"/>
        <color indexed="8"/>
        <rFont val="Calibri"/>
        <family val="2"/>
      </rPr>
      <t>4</t>
    </r>
  </si>
  <si>
    <t>∫R(t)*dRF/dt</t>
  </si>
  <si>
    <r>
      <t>∂f</t>
    </r>
    <r>
      <rPr>
        <sz val="8"/>
        <color indexed="8"/>
        <rFont val="Calibri"/>
        <family val="2"/>
      </rPr>
      <t>npp</t>
    </r>
  </si>
  <si>
    <t>GtC/anno</t>
  </si>
  <si>
    <r>
      <t>∂f</t>
    </r>
    <r>
      <rPr>
        <sz val="8"/>
        <color indexed="8"/>
        <rFont val="Calibri"/>
        <family val="2"/>
      </rPr>
      <t>decay</t>
    </r>
  </si>
  <si>
    <r>
      <t>f</t>
    </r>
    <r>
      <rPr>
        <sz val="8"/>
        <color indexed="8"/>
        <rFont val="Calibri"/>
        <family val="2"/>
      </rPr>
      <t>fer</t>
    </r>
  </si>
  <si>
    <t>Emis. SOx</t>
  </si>
  <si>
    <t>Drf</t>
  </si>
  <si>
    <t>aerosol</t>
  </si>
  <si>
    <r>
      <t>∆</t>
    </r>
    <r>
      <rPr>
        <b/>
        <sz val="12"/>
        <color indexed="8"/>
        <rFont val="Calibri"/>
        <family val="2"/>
      </rPr>
      <t>T(2000)</t>
    </r>
  </si>
  <si>
    <t>Parametri</t>
  </si>
  <si>
    <t>anno</t>
  </si>
  <si>
    <t>∆T(2000) °C</t>
  </si>
  <si>
    <t>variazione di T rispetto al 2000</t>
  </si>
  <si>
    <r>
      <t>CO</t>
    </r>
    <r>
      <rPr>
        <vertAlign val="subscript"/>
        <sz val="10"/>
        <color indexed="8"/>
        <rFont val="Arial"/>
        <family val="2"/>
      </rPr>
      <t>2</t>
    </r>
  </si>
  <si>
    <r>
      <t>concentrazione di CO</t>
    </r>
    <r>
      <rPr>
        <vertAlign val="subscript"/>
        <sz val="10"/>
        <color indexed="8"/>
        <rFont val="Arial"/>
        <family val="2"/>
      </rPr>
      <t>2</t>
    </r>
  </si>
  <si>
    <r>
      <t>concentrazione di N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0</t>
    </r>
  </si>
  <si>
    <r>
      <t>concentrazione di CH</t>
    </r>
    <r>
      <rPr>
        <vertAlign val="subscript"/>
        <sz val="10"/>
        <color indexed="8"/>
        <rFont val="Arial"/>
        <family val="2"/>
      </rPr>
      <t>4</t>
    </r>
  </si>
  <si>
    <t>- indicano l'aumento percentuale delle emissioni di un gas da un anno all'altro a partire dal 2000</t>
  </si>
  <si>
    <t>- un tasso di emissione &gt;0 significa che le emissioni aumentano; =0 che le emissioni rimangono</t>
  </si>
  <si>
    <t>uguali a quelle dell'anno 2000; &lt;0 che le emissioni vengono ridotte</t>
  </si>
  <si>
    <r>
      <t xml:space="preserve">A proposito dei </t>
    </r>
    <r>
      <rPr>
        <b/>
        <i/>
        <sz val="10"/>
        <color indexed="17"/>
        <rFont val="Arial"/>
        <family val="2"/>
      </rPr>
      <t>tassi di emissione</t>
    </r>
    <r>
      <rPr>
        <i/>
        <sz val="10"/>
        <color indexed="17"/>
        <rFont val="Arial"/>
        <family val="2"/>
      </rPr>
      <t xml:space="preserve"> ricordatevi che:</t>
    </r>
  </si>
  <si>
    <t>altri gas</t>
  </si>
  <si>
    <t>aeresol</t>
  </si>
  <si>
    <t xml:space="preserve"> ppm</t>
  </si>
  <si>
    <t xml:space="preserve"> ppb</t>
  </si>
  <si>
    <t xml:space="preserve"> °C</t>
  </si>
  <si>
    <t>risultati del modello</t>
  </si>
  <si>
    <t xml:space="preserve">   ingressi del modello</t>
  </si>
  <si>
    <r>
      <t>CO</t>
    </r>
    <r>
      <rPr>
        <vertAlign val="subscript"/>
        <sz val="10"/>
        <color indexed="17"/>
        <rFont val="Arial"/>
        <family val="2"/>
      </rPr>
      <t>2</t>
    </r>
  </si>
  <si>
    <r>
      <t>N</t>
    </r>
    <r>
      <rPr>
        <vertAlign val="subscript"/>
        <sz val="10"/>
        <color indexed="17"/>
        <rFont val="Arial"/>
        <family val="2"/>
      </rPr>
      <t>2</t>
    </r>
    <r>
      <rPr>
        <sz val="10"/>
        <color indexed="17"/>
        <rFont val="Arial"/>
        <family val="2"/>
      </rPr>
      <t>0</t>
    </r>
  </si>
  <si>
    <r>
      <t>CH</t>
    </r>
    <r>
      <rPr>
        <vertAlign val="subscript"/>
        <sz val="10"/>
        <color indexed="17"/>
        <rFont val="Arial"/>
        <family val="2"/>
      </rPr>
      <t>4</t>
    </r>
  </si>
  <si>
    <t xml:space="preserve">concentrazioni: </t>
  </si>
  <si>
    <t xml:space="preserve">emissioni: </t>
  </si>
  <si>
    <r>
      <t xml:space="preserve">Inoltre è utile sapere che nel </t>
    </r>
    <r>
      <rPr>
        <b/>
        <sz val="10"/>
        <color indexed="17"/>
        <rFont val="Arial"/>
        <family val="2"/>
      </rPr>
      <t>2000</t>
    </r>
    <r>
      <rPr>
        <sz val="10"/>
        <color indexed="17"/>
        <rFont val="Arial"/>
        <family val="2"/>
      </rPr>
      <t xml:space="preserve"> la situazione era la seguente:</t>
    </r>
  </si>
  <si>
    <t>- si riferiscono a emissioni esclusivamente di origine antropica (non di origine naturale)</t>
  </si>
  <si>
    <r>
      <t>riord. r</t>
    </r>
    <r>
      <rPr>
        <sz val="8"/>
        <color indexed="8"/>
        <rFont val="Calibri"/>
        <family val="2"/>
      </rPr>
      <t>decay</t>
    </r>
  </si>
  <si>
    <t>Situazione al 1750</t>
  </si>
  <si>
    <t>Antrop.</t>
  </si>
  <si>
    <t>TOTALE</t>
  </si>
  <si>
    <r>
      <t xml:space="preserve">anno </t>
    </r>
    <r>
      <rPr>
        <b/>
        <i/>
        <sz val="10"/>
        <color indexed="8"/>
        <rFont val="Arial"/>
        <family val="2"/>
      </rPr>
      <t>2050</t>
    </r>
  </si>
  <si>
    <r>
      <t xml:space="preserve">anno </t>
    </r>
    <r>
      <rPr>
        <b/>
        <i/>
        <sz val="10"/>
        <color indexed="8"/>
        <rFont val="Arial"/>
        <family val="2"/>
      </rPr>
      <t>2100</t>
    </r>
    <r>
      <rPr>
        <i/>
        <sz val="10"/>
        <color indexed="8"/>
        <rFont val="Arial"/>
        <family val="2"/>
      </rPr>
      <t>:</t>
    </r>
  </si>
  <si>
    <t>VARIABILI ESTERNE (% variazione emissioni)</t>
  </si>
  <si>
    <t>altri</t>
  </si>
  <si>
    <r>
      <t>CO</t>
    </r>
    <r>
      <rPr>
        <vertAlign val="subscript"/>
        <sz val="11"/>
        <color indexed="8"/>
        <rFont val="Calibri"/>
        <family val="2"/>
      </rPr>
      <t>2</t>
    </r>
  </si>
  <si>
    <t>tassi di variazione emiss.</t>
  </si>
  <si>
    <r>
      <t xml:space="preserve">PER UTILIZZARE IL MODELLO: </t>
    </r>
    <r>
      <rPr>
        <sz val="10"/>
        <color indexed="17"/>
        <rFont val="Arial"/>
        <family val="2"/>
      </rPr>
      <t xml:space="preserve">inserite i valori dei tassi di variazione e osservate i risultati (copiateli poi come valore dove vi serve) </t>
    </r>
  </si>
  <si>
    <t>Emissioni all'aumento di temperatura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</si>
</sst>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#,##0.000"/>
    <numFmt numFmtId="170" formatCode="#,##0.00000"/>
    <numFmt numFmtId="171" formatCode="#,##0.0"/>
  </numFmts>
  <fonts count="61"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b/>
      <i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vertAlign val="subscript"/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4"/>
      <color indexed="17"/>
      <name val="Arial"/>
      <family val="2"/>
    </font>
    <font>
      <b/>
      <sz val="12"/>
      <color indexed="17"/>
      <name val="Arial"/>
      <family val="2"/>
    </font>
    <font>
      <sz val="11"/>
      <color indexed="8"/>
      <name val="Arial"/>
      <family val="2"/>
    </font>
    <font>
      <vertAlign val="subscript"/>
      <sz val="10"/>
      <color indexed="17"/>
      <name val="Arial"/>
      <family val="2"/>
    </font>
    <font>
      <i/>
      <sz val="10"/>
      <color indexed="8"/>
      <name val="Arial"/>
      <family val="2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55"/>
      <name val="Arial"/>
      <family val="2"/>
    </font>
    <font>
      <b/>
      <i/>
      <sz val="10"/>
      <color indexed="9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vertAlign val="subscript"/>
      <sz val="18"/>
      <color indexed="8"/>
      <name val="Calibri"/>
      <family val="2"/>
    </font>
    <font>
      <b/>
      <vertAlign val="superscript"/>
      <sz val="18"/>
      <color indexed="8"/>
      <name val="Calibri"/>
      <family val="2"/>
    </font>
    <font>
      <sz val="12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vertAlign val="subscript"/>
      <sz val="11"/>
      <color indexed="8"/>
      <name val="Calibri"/>
      <family val="2"/>
    </font>
    <font>
      <b/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thick">
        <color indexed="51"/>
      </left>
      <right style="thick">
        <color indexed="51"/>
      </right>
      <top style="thick">
        <color indexed="51"/>
      </top>
      <bottom style="thick">
        <color indexed="5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2" fontId="0" fillId="24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2" fontId="0" fillId="25" borderId="1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26" borderId="10" xfId="0" applyFill="1" applyBorder="1" applyAlignment="1">
      <alignment/>
    </xf>
    <xf numFmtId="0" fontId="0" fillId="26" borderId="10" xfId="0" applyFont="1" applyFill="1" applyBorder="1" applyAlignment="1">
      <alignment/>
    </xf>
    <xf numFmtId="2" fontId="0" fillId="26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26" borderId="10" xfId="0" applyFont="1" applyFill="1" applyBorder="1" applyAlignment="1">
      <alignment/>
    </xf>
    <xf numFmtId="0" fontId="3" fillId="26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3" fillId="17" borderId="10" xfId="0" applyFont="1" applyFill="1" applyBorder="1" applyAlignment="1">
      <alignment/>
    </xf>
    <xf numFmtId="0" fontId="3" fillId="25" borderId="10" xfId="0" applyFont="1" applyFill="1" applyBorder="1" applyAlignment="1">
      <alignment/>
    </xf>
    <xf numFmtId="0" fontId="3" fillId="25" borderId="10" xfId="0" applyFont="1" applyFill="1" applyBorder="1" applyAlignment="1">
      <alignment/>
    </xf>
    <xf numFmtId="0" fontId="3" fillId="13" borderId="10" xfId="0" applyFont="1" applyFill="1" applyBorder="1" applyAlignment="1">
      <alignment/>
    </xf>
    <xf numFmtId="0" fontId="3" fillId="27" borderId="10" xfId="0" applyFont="1" applyFill="1" applyBorder="1" applyAlignment="1">
      <alignment/>
    </xf>
    <xf numFmtId="2" fontId="0" fillId="24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1" xfId="0" applyNumberFormat="1" applyBorder="1" applyAlignment="1">
      <alignment/>
    </xf>
    <xf numFmtId="0" fontId="3" fillId="24" borderId="12" xfId="0" applyFont="1" applyFill="1" applyBorder="1" applyAlignment="1">
      <alignment/>
    </xf>
    <xf numFmtId="2" fontId="0" fillId="0" borderId="13" xfId="0" applyNumberFormat="1" applyBorder="1" applyAlignment="1">
      <alignment/>
    </xf>
    <xf numFmtId="2" fontId="0" fillId="24" borderId="13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3" fillId="26" borderId="10" xfId="0" applyNumberFormat="1" applyFont="1" applyFill="1" applyBorder="1" applyAlignment="1">
      <alignment/>
    </xf>
    <xf numFmtId="0" fontId="3" fillId="17" borderId="10" xfId="0" applyFont="1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25" borderId="10" xfId="0" applyNumberFormat="1" applyFill="1" applyBorder="1" applyAlignment="1">
      <alignment/>
    </xf>
    <xf numFmtId="0" fontId="0" fillId="13" borderId="10" xfId="0" applyFill="1" applyBorder="1" applyAlignment="1">
      <alignment/>
    </xf>
    <xf numFmtId="2" fontId="0" fillId="13" borderId="10" xfId="0" applyNumberFormat="1" applyFill="1" applyBorder="1" applyAlignment="1">
      <alignment/>
    </xf>
    <xf numFmtId="2" fontId="0" fillId="13" borderId="10" xfId="0" applyNumberFormat="1" applyFont="1" applyFill="1" applyBorder="1" applyAlignment="1">
      <alignment/>
    </xf>
    <xf numFmtId="2" fontId="0" fillId="13" borderId="11" xfId="0" applyNumberFormat="1" applyFill="1" applyBorder="1" applyAlignment="1">
      <alignment/>
    </xf>
    <xf numFmtId="164" fontId="0" fillId="13" borderId="11" xfId="0" applyNumberFormat="1" applyFill="1" applyBorder="1" applyAlignment="1">
      <alignment/>
    </xf>
    <xf numFmtId="164" fontId="0" fillId="13" borderId="10" xfId="0" applyNumberFormat="1" applyFill="1" applyBorder="1" applyAlignment="1">
      <alignment/>
    </xf>
    <xf numFmtId="2" fontId="0" fillId="13" borderId="15" xfId="0" applyNumberFormat="1" applyFill="1" applyBorder="1" applyAlignment="1">
      <alignment/>
    </xf>
    <xf numFmtId="2" fontId="0" fillId="13" borderId="13" xfId="0" applyNumberFormat="1" applyFill="1" applyBorder="1" applyAlignment="1">
      <alignment/>
    </xf>
    <xf numFmtId="2" fontId="0" fillId="25" borderId="13" xfId="0" applyNumberFormat="1" applyFont="1" applyFill="1" applyBorder="1" applyAlignment="1">
      <alignment/>
    </xf>
    <xf numFmtId="2" fontId="0" fillId="25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6" fillId="17" borderId="10" xfId="0" applyNumberFormat="1" applyFont="1" applyFill="1" applyBorder="1" applyAlignment="1">
      <alignment/>
    </xf>
    <xf numFmtId="0" fontId="0" fillId="25" borderId="0" xfId="0" applyFill="1" applyAlignment="1">
      <alignment/>
    </xf>
    <xf numFmtId="0" fontId="0" fillId="3" borderId="0" xfId="0" applyFill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2" fillId="0" borderId="0" xfId="0" applyFont="1" applyFill="1" applyAlignment="1">
      <alignment/>
    </xf>
    <xf numFmtId="0" fontId="27" fillId="25" borderId="0" xfId="0" applyFont="1" applyFill="1" applyAlignment="1">
      <alignment/>
    </xf>
    <xf numFmtId="0" fontId="0" fillId="0" borderId="0" xfId="0" applyFill="1" applyAlignment="1">
      <alignment/>
    </xf>
    <xf numFmtId="0" fontId="0" fillId="3" borderId="17" xfId="0" applyFill="1" applyBorder="1" applyAlignment="1">
      <alignment horizontal="center"/>
    </xf>
    <xf numFmtId="2" fontId="28" fillId="0" borderId="0" xfId="0" applyNumberFormat="1" applyFont="1" applyFill="1" applyBorder="1" applyAlignment="1">
      <alignment/>
    </xf>
    <xf numFmtId="0" fontId="29" fillId="25" borderId="0" xfId="0" applyFont="1" applyFill="1" applyAlignment="1">
      <alignment horizontal="center"/>
    </xf>
    <xf numFmtId="2" fontId="29" fillId="0" borderId="0" xfId="0" applyNumberFormat="1" applyFont="1" applyFill="1" applyBorder="1" applyAlignment="1">
      <alignment/>
    </xf>
    <xf numFmtId="0" fontId="30" fillId="25" borderId="0" xfId="0" applyFont="1" applyFill="1" applyAlignment="1">
      <alignment/>
    </xf>
    <xf numFmtId="0" fontId="30" fillId="25" borderId="0" xfId="0" applyFont="1" applyFill="1" applyAlignment="1">
      <alignment horizontal="center"/>
    </xf>
    <xf numFmtId="2" fontId="30" fillId="25" borderId="0" xfId="0" applyNumberFormat="1" applyFont="1" applyFill="1" applyAlignment="1">
      <alignment horizontal="center"/>
    </xf>
    <xf numFmtId="0" fontId="27" fillId="0" borderId="0" xfId="0" applyFont="1" applyAlignment="1">
      <alignment/>
    </xf>
    <xf numFmtId="0" fontId="35" fillId="25" borderId="0" xfId="0" applyFont="1" applyFill="1" applyAlignment="1">
      <alignment/>
    </xf>
    <xf numFmtId="0" fontId="36" fillId="25" borderId="0" xfId="0" applyFont="1" applyFill="1" applyAlignment="1">
      <alignment/>
    </xf>
    <xf numFmtId="0" fontId="38" fillId="25" borderId="0" xfId="0" applyFont="1" applyFill="1" applyAlignment="1">
      <alignment horizontal="justify"/>
    </xf>
    <xf numFmtId="0" fontId="27" fillId="25" borderId="0" xfId="0" applyFont="1" applyFill="1" applyAlignment="1">
      <alignment horizontal="center"/>
    </xf>
    <xf numFmtId="0" fontId="40" fillId="25" borderId="0" xfId="0" applyFont="1" applyFill="1" applyAlignment="1">
      <alignment horizontal="center"/>
    </xf>
    <xf numFmtId="0" fontId="35" fillId="25" borderId="0" xfId="0" applyFont="1" applyFill="1" applyAlignment="1" quotePrefix="1">
      <alignment/>
    </xf>
    <xf numFmtId="0" fontId="41" fillId="25" borderId="0" xfId="0" applyFont="1" applyFill="1" applyAlignment="1">
      <alignment/>
    </xf>
    <xf numFmtId="0" fontId="33" fillId="0" borderId="0" xfId="0" applyFont="1" applyFill="1" applyAlignment="1">
      <alignment horizontal="center"/>
    </xf>
    <xf numFmtId="0" fontId="27" fillId="25" borderId="0" xfId="0" applyFont="1" applyFill="1" applyBorder="1" applyAlignment="1">
      <alignment horizontal="center"/>
    </xf>
    <xf numFmtId="0" fontId="44" fillId="25" borderId="0" xfId="0" applyFont="1" applyFill="1" applyAlignment="1">
      <alignment/>
    </xf>
    <xf numFmtId="3" fontId="34" fillId="25" borderId="0" xfId="0" applyNumberFormat="1" applyFont="1" applyFill="1" applyAlignment="1">
      <alignment horizontal="center"/>
    </xf>
    <xf numFmtId="2" fontId="34" fillId="25" borderId="0" xfId="0" applyNumberFormat="1" applyFont="1" applyFill="1" applyBorder="1" applyAlignment="1">
      <alignment horizontal="center"/>
    </xf>
    <xf numFmtId="0" fontId="35" fillId="25" borderId="0" xfId="0" applyFont="1" applyFill="1" applyBorder="1" applyAlignment="1">
      <alignment/>
    </xf>
    <xf numFmtId="0" fontId="35" fillId="25" borderId="0" xfId="0" applyFont="1" applyFill="1" applyBorder="1" applyAlignment="1">
      <alignment horizontal="left"/>
    </xf>
    <xf numFmtId="0" fontId="35" fillId="25" borderId="0" xfId="0" applyFont="1" applyFill="1" applyAlignment="1">
      <alignment horizontal="right"/>
    </xf>
    <xf numFmtId="0" fontId="35" fillId="25" borderId="0" xfId="0" applyFont="1" applyFill="1" applyBorder="1" applyAlignment="1">
      <alignment horizontal="right"/>
    </xf>
    <xf numFmtId="0" fontId="35" fillId="25" borderId="0" xfId="0" applyFont="1" applyFill="1" applyAlignment="1">
      <alignment horizontal="left"/>
    </xf>
    <xf numFmtId="0" fontId="27" fillId="25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5" borderId="0" xfId="0" applyFill="1" applyAlignment="1">
      <alignment/>
    </xf>
    <xf numFmtId="0" fontId="34" fillId="25" borderId="0" xfId="0" applyFont="1" applyFill="1" applyAlignment="1">
      <alignment/>
    </xf>
    <xf numFmtId="0" fontId="44" fillId="25" borderId="0" xfId="0" applyFont="1" applyFill="1" applyBorder="1" applyAlignment="1">
      <alignment/>
    </xf>
    <xf numFmtId="0" fontId="40" fillId="25" borderId="0" xfId="0" applyFont="1" applyFill="1" applyBorder="1" applyAlignment="1">
      <alignment/>
    </xf>
    <xf numFmtId="3" fontId="27" fillId="25" borderId="0" xfId="0" applyNumberFormat="1" applyFont="1" applyFill="1" applyBorder="1" applyAlignment="1">
      <alignment horizontal="center"/>
    </xf>
    <xf numFmtId="2" fontId="28" fillId="25" borderId="0" xfId="0" applyNumberFormat="1" applyFont="1" applyFill="1" applyBorder="1" applyAlignment="1">
      <alignment/>
    </xf>
    <xf numFmtId="4" fontId="27" fillId="25" borderId="0" xfId="0" applyNumberFormat="1" applyFont="1" applyFill="1" applyBorder="1" applyAlignment="1">
      <alignment horizontal="center"/>
    </xf>
    <xf numFmtId="0" fontId="53" fillId="25" borderId="0" xfId="0" applyFont="1" applyFill="1" applyBorder="1" applyAlignment="1">
      <alignment/>
    </xf>
    <xf numFmtId="0" fontId="46" fillId="25" borderId="0" xfId="0" applyFont="1" applyFill="1" applyBorder="1" applyAlignment="1">
      <alignment/>
    </xf>
    <xf numFmtId="0" fontId="0" fillId="25" borderId="0" xfId="0" applyFill="1" applyBorder="1" applyAlignment="1">
      <alignment/>
    </xf>
    <xf numFmtId="0" fontId="27" fillId="25" borderId="0" xfId="0" applyFont="1" applyFill="1" applyBorder="1" applyAlignment="1">
      <alignment horizontal="left"/>
    </xf>
    <xf numFmtId="4" fontId="27" fillId="25" borderId="0" xfId="0" applyNumberFormat="1" applyFont="1" applyFill="1" applyBorder="1" applyAlignment="1">
      <alignment horizontal="right"/>
    </xf>
    <xf numFmtId="0" fontId="33" fillId="25" borderId="0" xfId="0" applyFont="1" applyFill="1" applyAlignment="1">
      <alignment horizontal="center"/>
    </xf>
    <xf numFmtId="0" fontId="27" fillId="25" borderId="0" xfId="0" applyFont="1" applyFill="1" applyBorder="1" applyAlignment="1">
      <alignment horizontal="left"/>
    </xf>
    <xf numFmtId="4" fontId="27" fillId="25" borderId="0" xfId="0" applyNumberFormat="1" applyFont="1" applyFill="1" applyBorder="1" applyAlignment="1">
      <alignment horizontal="right"/>
    </xf>
    <xf numFmtId="0" fontId="27" fillId="22" borderId="18" xfId="0" applyFont="1" applyFill="1" applyBorder="1" applyAlignment="1" applyProtection="1">
      <alignment horizontal="center"/>
      <protection locked="0"/>
    </xf>
    <xf numFmtId="3" fontId="27" fillId="15" borderId="18" xfId="0" applyNumberFormat="1" applyFont="1" applyFill="1" applyBorder="1" applyAlignment="1" applyProtection="1">
      <alignment horizontal="center"/>
      <protection/>
    </xf>
    <xf numFmtId="4" fontId="27" fillId="15" borderId="18" xfId="0" applyNumberFormat="1" applyFont="1" applyFill="1" applyBorder="1" applyAlignment="1" applyProtection="1">
      <alignment horizontal="center"/>
      <protection/>
    </xf>
    <xf numFmtId="0" fontId="54" fillId="25" borderId="0" xfId="0" applyFont="1" applyFill="1" applyBorder="1" applyAlignment="1" applyProtection="1">
      <alignment horizontal="left"/>
      <protection locked="0"/>
    </xf>
    <xf numFmtId="0" fontId="55" fillId="25" borderId="0" xfId="0" applyFont="1" applyFill="1" applyBorder="1" applyAlignment="1" applyProtection="1">
      <alignment horizontal="center" wrapText="1"/>
      <protection locked="0"/>
    </xf>
    <xf numFmtId="0" fontId="31" fillId="25" borderId="0" xfId="0" applyFont="1" applyFill="1" applyBorder="1" applyAlignment="1" applyProtection="1">
      <alignment/>
      <protection locked="0"/>
    </xf>
    <xf numFmtId="0" fontId="46" fillId="25" borderId="0" xfId="0" applyFont="1" applyFill="1" applyBorder="1" applyAlignment="1" applyProtection="1">
      <alignment/>
      <protection locked="0"/>
    </xf>
    <xf numFmtId="0" fontId="0" fillId="25" borderId="0" xfId="0" applyFill="1" applyBorder="1" applyAlignment="1" applyProtection="1">
      <alignment/>
      <protection locked="0"/>
    </xf>
    <xf numFmtId="0" fontId="40" fillId="25" borderId="0" xfId="0" applyFont="1" applyFill="1" applyBorder="1" applyAlignment="1">
      <alignment horizontal="center"/>
    </xf>
    <xf numFmtId="0" fontId="54" fillId="25" borderId="0" xfId="0" applyFont="1" applyFill="1" applyBorder="1" applyAlignment="1" applyProtection="1">
      <alignment horizontal="right"/>
      <protection locked="0"/>
    </xf>
    <xf numFmtId="0" fontId="31" fillId="25" borderId="0" xfId="0" applyFont="1" applyFill="1" applyBorder="1" applyAlignment="1" applyProtection="1">
      <alignment horizontal="center" wrapText="1"/>
      <protection locked="0"/>
    </xf>
    <xf numFmtId="0" fontId="33" fillId="25" borderId="0" xfId="0" applyFont="1" applyFill="1" applyBorder="1" applyAlignment="1" applyProtection="1">
      <alignment horizontal="left"/>
      <protection locked="0"/>
    </xf>
    <xf numFmtId="0" fontId="27" fillId="25" borderId="0" xfId="0" applyFont="1" applyFill="1" applyBorder="1" applyAlignment="1" applyProtection="1">
      <alignment horizontal="center"/>
      <protection locked="0"/>
    </xf>
    <xf numFmtId="0" fontId="33" fillId="25" borderId="0" xfId="0" applyFont="1" applyFill="1" applyBorder="1" applyAlignment="1" applyProtection="1">
      <alignment horizontal="right"/>
      <protection locked="0"/>
    </xf>
    <xf numFmtId="2" fontId="46" fillId="25" borderId="0" xfId="0" applyNumberFormat="1" applyFont="1" applyFill="1" applyBorder="1" applyAlignment="1" applyProtection="1">
      <alignment horizontal="center"/>
      <protection locked="0"/>
    </xf>
    <xf numFmtId="2" fontId="0" fillId="25" borderId="0" xfId="0" applyNumberFormat="1" applyFill="1" applyBorder="1" applyAlignment="1" applyProtection="1">
      <alignment horizontal="center"/>
      <protection locked="0"/>
    </xf>
    <xf numFmtId="3" fontId="27" fillId="25" borderId="0" xfId="0" applyNumberFormat="1" applyFont="1" applyFill="1" applyBorder="1" applyAlignment="1" applyProtection="1">
      <alignment horizontal="center"/>
      <protection locked="0"/>
    </xf>
    <xf numFmtId="4" fontId="27" fillId="25" borderId="0" xfId="0" applyNumberFormat="1" applyFont="1" applyFill="1" applyBorder="1" applyAlignment="1" applyProtection="1">
      <alignment horizontal="center"/>
      <protection locked="0"/>
    </xf>
    <xf numFmtId="4" fontId="27" fillId="25" borderId="0" xfId="0" applyNumberFormat="1" applyFont="1" applyFill="1" applyBorder="1" applyAlignment="1" applyProtection="1" quotePrefix="1">
      <alignment horizontal="right"/>
      <protection locked="0"/>
    </xf>
    <xf numFmtId="0" fontId="27" fillId="25" borderId="0" xfId="0" applyFont="1" applyFill="1" applyBorder="1" applyAlignment="1" applyProtection="1">
      <alignment/>
      <protection locked="0"/>
    </xf>
    <xf numFmtId="0" fontId="56" fillId="25" borderId="0" xfId="0" applyFont="1" applyFill="1" applyBorder="1" applyAlignment="1">
      <alignment/>
    </xf>
    <xf numFmtId="0" fontId="27" fillId="25" borderId="0" xfId="0" applyFont="1" applyFill="1" applyBorder="1" applyAlignment="1" applyProtection="1">
      <alignment/>
      <protection/>
    </xf>
    <xf numFmtId="0" fontId="43" fillId="25" borderId="0" xfId="0" applyFont="1" applyFill="1" applyBorder="1" applyAlignment="1">
      <alignment/>
    </xf>
    <xf numFmtId="0" fontId="37" fillId="25" borderId="0" xfId="0" applyFont="1" applyFill="1" applyBorder="1" applyAlignment="1">
      <alignment/>
    </xf>
    <xf numFmtId="0" fontId="35" fillId="25" borderId="0" xfId="0" applyFont="1" applyFill="1" applyBorder="1" applyAlignment="1">
      <alignment/>
    </xf>
    <xf numFmtId="0" fontId="41" fillId="25" borderId="0" xfId="0" applyFont="1" applyFill="1" applyBorder="1" applyAlignment="1">
      <alignment/>
    </xf>
    <xf numFmtId="0" fontId="33" fillId="25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Hyperlink" xfId="42"/>
    <cellStyle name="Followed Hyperlink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Comma" xfId="52"/>
    <cellStyle name="Comma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Forzante radiativa complessiva (W/m</a:t>
            </a:r>
            <a:r>
              <a:rPr lang="en-US" cap="none" sz="1800" b="1" i="0" u="none" baseline="30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-0.024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"/>
          <c:w val="0.94825"/>
          <c:h val="0.89875"/>
        </c:manualLayout>
      </c:layout>
      <c:lineChart>
        <c:grouping val="standard"/>
        <c:varyColors val="0"/>
        <c:ser>
          <c:idx val="3"/>
          <c:order val="0"/>
          <c:tx>
            <c:v>RF TOT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modello!$F$254:$F$354</c:f>
              <c:numCache>
                <c:ptCount val="10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  <c:pt idx="51">
                  <c:v>2051</c:v>
                </c:pt>
                <c:pt idx="52">
                  <c:v>2052</c:v>
                </c:pt>
                <c:pt idx="53">
                  <c:v>2053</c:v>
                </c:pt>
                <c:pt idx="54">
                  <c:v>2054</c:v>
                </c:pt>
                <c:pt idx="55">
                  <c:v>2055</c:v>
                </c:pt>
                <c:pt idx="56">
                  <c:v>2056</c:v>
                </c:pt>
                <c:pt idx="57">
                  <c:v>2057</c:v>
                </c:pt>
                <c:pt idx="58">
                  <c:v>2058</c:v>
                </c:pt>
                <c:pt idx="59">
                  <c:v>2059</c:v>
                </c:pt>
                <c:pt idx="60">
                  <c:v>2060</c:v>
                </c:pt>
                <c:pt idx="61">
                  <c:v>2061</c:v>
                </c:pt>
                <c:pt idx="62">
                  <c:v>2062</c:v>
                </c:pt>
                <c:pt idx="63">
                  <c:v>2063</c:v>
                </c:pt>
                <c:pt idx="64">
                  <c:v>2064</c:v>
                </c:pt>
                <c:pt idx="65">
                  <c:v>2065</c:v>
                </c:pt>
                <c:pt idx="66">
                  <c:v>2066</c:v>
                </c:pt>
                <c:pt idx="67">
                  <c:v>2067</c:v>
                </c:pt>
                <c:pt idx="68">
                  <c:v>2068</c:v>
                </c:pt>
                <c:pt idx="69">
                  <c:v>2069</c:v>
                </c:pt>
                <c:pt idx="70">
                  <c:v>2070</c:v>
                </c:pt>
                <c:pt idx="71">
                  <c:v>2071</c:v>
                </c:pt>
                <c:pt idx="72">
                  <c:v>2072</c:v>
                </c:pt>
                <c:pt idx="73">
                  <c:v>2073</c:v>
                </c:pt>
                <c:pt idx="74">
                  <c:v>2074</c:v>
                </c:pt>
                <c:pt idx="75">
                  <c:v>2075</c:v>
                </c:pt>
                <c:pt idx="76">
                  <c:v>2076</c:v>
                </c:pt>
                <c:pt idx="77">
                  <c:v>2077</c:v>
                </c:pt>
                <c:pt idx="78">
                  <c:v>2078</c:v>
                </c:pt>
                <c:pt idx="79">
                  <c:v>2079</c:v>
                </c:pt>
                <c:pt idx="80">
                  <c:v>2080</c:v>
                </c:pt>
                <c:pt idx="81">
                  <c:v>2081</c:v>
                </c:pt>
                <c:pt idx="82">
                  <c:v>2082</c:v>
                </c:pt>
                <c:pt idx="83">
                  <c:v>2083</c:v>
                </c:pt>
                <c:pt idx="84">
                  <c:v>2084</c:v>
                </c:pt>
                <c:pt idx="85">
                  <c:v>2085</c:v>
                </c:pt>
                <c:pt idx="86">
                  <c:v>2086</c:v>
                </c:pt>
                <c:pt idx="87">
                  <c:v>2087</c:v>
                </c:pt>
                <c:pt idx="88">
                  <c:v>2088</c:v>
                </c:pt>
                <c:pt idx="89">
                  <c:v>2089</c:v>
                </c:pt>
                <c:pt idx="90">
                  <c:v>2090</c:v>
                </c:pt>
                <c:pt idx="91">
                  <c:v>2091</c:v>
                </c:pt>
                <c:pt idx="92">
                  <c:v>2092</c:v>
                </c:pt>
                <c:pt idx="93">
                  <c:v>2093</c:v>
                </c:pt>
                <c:pt idx="94">
                  <c:v>2094</c:v>
                </c:pt>
                <c:pt idx="95">
                  <c:v>2095</c:v>
                </c:pt>
                <c:pt idx="96">
                  <c:v>2096</c:v>
                </c:pt>
                <c:pt idx="97">
                  <c:v>2097</c:v>
                </c:pt>
                <c:pt idx="98">
                  <c:v>2098</c:v>
                </c:pt>
                <c:pt idx="99">
                  <c:v>2099</c:v>
                </c:pt>
                <c:pt idx="100">
                  <c:v>2100</c:v>
                </c:pt>
              </c:numCache>
            </c:numRef>
          </c:cat>
          <c:val>
            <c:numRef>
              <c:f>modello!$BB$254:$BB$354</c:f>
              <c:numCache>
                <c:ptCount val="101"/>
                <c:pt idx="0">
                  <c:v>1.258536842366229</c:v>
                </c:pt>
                <c:pt idx="1">
                  <c:v>1.2919783863755576</c:v>
                </c:pt>
                <c:pt idx="2">
                  <c:v>1.32452806764422</c:v>
                </c:pt>
                <c:pt idx="3">
                  <c:v>1.35626156157063</c:v>
                </c:pt>
                <c:pt idx="4">
                  <c:v>1.387249123605054</c:v>
                </c:pt>
                <c:pt idx="5">
                  <c:v>1.41754575149597</c:v>
                </c:pt>
                <c:pt idx="6">
                  <c:v>1.4472064202835768</c:v>
                </c:pt>
                <c:pt idx="7">
                  <c:v>1.47630247864549</c:v>
                </c:pt>
                <c:pt idx="8">
                  <c:v>1.5048249532475255</c:v>
                </c:pt>
                <c:pt idx="9">
                  <c:v>1.5328192540050556</c:v>
                </c:pt>
                <c:pt idx="10">
                  <c:v>1.560348495368606</c:v>
                </c:pt>
                <c:pt idx="11">
                  <c:v>1.5874299253219757</c:v>
                </c:pt>
                <c:pt idx="12">
                  <c:v>1.6140778937134066</c:v>
                </c:pt>
                <c:pt idx="13">
                  <c:v>1.6403298669492998</c:v>
                </c:pt>
                <c:pt idx="14">
                  <c:v>1.6662130773516908</c:v>
                </c:pt>
                <c:pt idx="15">
                  <c:v>1.6917397310581748</c:v>
                </c:pt>
                <c:pt idx="16">
                  <c:v>1.7169293780309416</c:v>
                </c:pt>
                <c:pt idx="17">
                  <c:v>1.741805090916892</c:v>
                </c:pt>
                <c:pt idx="18">
                  <c:v>1.7663812232610923</c:v>
                </c:pt>
                <c:pt idx="19">
                  <c:v>1.790670083694422</c:v>
                </c:pt>
                <c:pt idx="20">
                  <c:v>1.8146876440213071</c:v>
                </c:pt>
                <c:pt idx="21">
                  <c:v>1.8384476823678004</c:v>
                </c:pt>
                <c:pt idx="22">
                  <c:v>1.8619603597420686</c:v>
                </c:pt>
                <c:pt idx="23">
                  <c:v>1.8852366055262442</c:v>
                </c:pt>
                <c:pt idx="24">
                  <c:v>1.9082876897225827</c:v>
                </c:pt>
                <c:pt idx="25">
                  <c:v>1.9311227110738902</c:v>
                </c:pt>
                <c:pt idx="26">
                  <c:v>1.953749885564568</c:v>
                </c:pt>
                <c:pt idx="27">
                  <c:v>1.976177841827975</c:v>
                </c:pt>
                <c:pt idx="28">
                  <c:v>1.9984144337994725</c:v>
                </c:pt>
                <c:pt idx="29">
                  <c:v>2.020466420564654</c:v>
                </c:pt>
                <c:pt idx="30">
                  <c:v>2.0423404543795023</c:v>
                </c:pt>
                <c:pt idx="31">
                  <c:v>2.0640430151920404</c:v>
                </c:pt>
                <c:pt idx="32">
                  <c:v>2.0855798552626803</c:v>
                </c:pt>
                <c:pt idx="33">
                  <c:v>2.1069563184952456</c:v>
                </c:pt>
                <c:pt idx="34">
                  <c:v>2.1281776564771286</c:v>
                </c:pt>
                <c:pt idx="35">
                  <c:v>2.149248752123817</c:v>
                </c:pt>
                <c:pt idx="36">
                  <c:v>2.170174064082326</c:v>
                </c:pt>
                <c:pt idx="37">
                  <c:v>2.19095788444495</c:v>
                </c:pt>
                <c:pt idx="38">
                  <c:v>2.2116043214455456</c:v>
                </c:pt>
                <c:pt idx="39">
                  <c:v>2.232117170122435</c:v>
                </c:pt>
                <c:pt idx="40">
                  <c:v>2.2525000124912244</c:v>
                </c:pt>
                <c:pt idx="41">
                  <c:v>2.2727563017403245</c:v>
                </c:pt>
                <c:pt idx="42">
                  <c:v>2.292889290429131</c:v>
                </c:pt>
                <c:pt idx="43">
                  <c:v>2.3129020295376295</c:v>
                </c:pt>
                <c:pt idx="44">
                  <c:v>2.332797445945606</c:v>
                </c:pt>
                <c:pt idx="45">
                  <c:v>2.352578335979268</c:v>
                </c:pt>
                <c:pt idx="46">
                  <c:v>2.3722473357917666</c:v>
                </c:pt>
                <c:pt idx="47">
                  <c:v>2.3918069591101814</c:v>
                </c:pt>
                <c:pt idx="48">
                  <c:v>2.411259621864362</c:v>
                </c:pt>
                <c:pt idx="49">
                  <c:v>2.4306076224581012</c:v>
                </c:pt>
                <c:pt idx="50">
                  <c:v>2.44985314878314</c:v>
                </c:pt>
                <c:pt idx="51">
                  <c:v>2.468998304678619</c:v>
                </c:pt>
                <c:pt idx="52">
                  <c:v>2.4880451074524768</c:v>
                </c:pt>
                <c:pt idx="53">
                  <c:v>2.5069954825962095</c:v>
                </c:pt>
                <c:pt idx="54">
                  <c:v>2.5258512799369166</c:v>
                </c:pt>
                <c:pt idx="55">
                  <c:v>2.5446142815661057</c:v>
                </c:pt>
                <c:pt idx="56">
                  <c:v>2.5632861966953393</c:v>
                </c:pt>
                <c:pt idx="57">
                  <c:v>2.5818686676447866</c:v>
                </c:pt>
                <c:pt idx="58">
                  <c:v>2.6003632798982665</c:v>
                </c:pt>
                <c:pt idx="59">
                  <c:v>2.618771561333559</c:v>
                </c:pt>
                <c:pt idx="60">
                  <c:v>2.6370949826934167</c:v>
                </c:pt>
                <c:pt idx="61">
                  <c:v>2.655334965112906</c:v>
                </c:pt>
                <c:pt idx="62">
                  <c:v>2.673492882951546</c:v>
                </c:pt>
                <c:pt idx="63">
                  <c:v>2.6915700629470893</c:v>
                </c:pt>
                <c:pt idx="64">
                  <c:v>2.7095677882378113</c:v>
                </c:pt>
                <c:pt idx="65">
                  <c:v>2.7274873025257587</c:v>
                </c:pt>
                <c:pt idx="66">
                  <c:v>2.745329810044543</c:v>
                </c:pt>
                <c:pt idx="67">
                  <c:v>2.763096477066574</c:v>
                </c:pt>
                <c:pt idx="68">
                  <c:v>2.780788435619569</c:v>
                </c:pt>
                <c:pt idx="69">
                  <c:v>2.7984067846421876</c:v>
                </c:pt>
                <c:pt idx="70">
                  <c:v>2.815952590374554</c:v>
                </c:pt>
                <c:pt idx="71">
                  <c:v>2.833426888886044</c:v>
                </c:pt>
                <c:pt idx="72">
                  <c:v>2.850830687924698</c:v>
                </c:pt>
                <c:pt idx="73">
                  <c:v>2.8681649671872536</c:v>
                </c:pt>
                <c:pt idx="74">
                  <c:v>2.8854306797135654</c:v>
                </c:pt>
                <c:pt idx="75">
                  <c:v>2.9026287537954083</c:v>
                </c:pt>
                <c:pt idx="76">
                  <c:v>2.919760093548601</c:v>
                </c:pt>
                <c:pt idx="77">
                  <c:v>2.936825579585587</c:v>
                </c:pt>
                <c:pt idx="78">
                  <c:v>2.9538260705692925</c:v>
                </c:pt>
                <c:pt idx="79">
                  <c:v>2.9707624040931373</c:v>
                </c:pt>
                <c:pt idx="80">
                  <c:v>2.987635397058831</c:v>
                </c:pt>
                <c:pt idx="81">
                  <c:v>3.0044458467460227</c:v>
                </c:pt>
                <c:pt idx="82">
                  <c:v>3.0211945318204925</c:v>
                </c:pt>
                <c:pt idx="83">
                  <c:v>3.037882212697257</c:v>
                </c:pt>
                <c:pt idx="84">
                  <c:v>3.054509632197285</c:v>
                </c:pt>
                <c:pt idx="85">
                  <c:v>3.071077516493016</c:v>
                </c:pt>
                <c:pt idx="86">
                  <c:v>3.087586575567673</c:v>
                </c:pt>
                <c:pt idx="87">
                  <c:v>3.104037503613452</c:v>
                </c:pt>
                <c:pt idx="88">
                  <c:v>3.1204309797970833</c:v>
                </c:pt>
                <c:pt idx="89">
                  <c:v>3.136767668806258</c:v>
                </c:pt>
                <c:pt idx="90">
                  <c:v>3.1530482211380493</c:v>
                </c:pt>
                <c:pt idx="91">
                  <c:v>3.169273273654305</c:v>
                </c:pt>
                <c:pt idx="92">
                  <c:v>3.18544345015146</c:v>
                </c:pt>
                <c:pt idx="93">
                  <c:v>3.201559361638278</c:v>
                </c:pt>
                <c:pt idx="94">
                  <c:v>3.217621606713627</c:v>
                </c:pt>
                <c:pt idx="95">
                  <c:v>3.2336307720921855</c:v>
                </c:pt>
                <c:pt idx="96">
                  <c:v>3.2495874329137906</c:v>
                </c:pt>
                <c:pt idx="97">
                  <c:v>3.2654921530044128</c:v>
                </c:pt>
                <c:pt idx="98">
                  <c:v>3.281345485313859</c:v>
                </c:pt>
                <c:pt idx="99">
                  <c:v>3.297147972255854</c:v>
                </c:pt>
                <c:pt idx="100">
                  <c:v>3.312900145912987</c:v>
                </c:pt>
              </c:numCache>
            </c:numRef>
          </c:val>
          <c:smooth val="0"/>
        </c:ser>
        <c:marker val="1"/>
        <c:axId val="40459343"/>
        <c:axId val="28589768"/>
      </c:lineChart>
      <c:catAx>
        <c:axId val="404593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589768"/>
        <c:crosses val="autoZero"/>
        <c:auto val="1"/>
        <c:lblOffset val="100"/>
        <c:tickLblSkip val="5"/>
        <c:noMultiLvlLbl val="0"/>
      </c:catAx>
      <c:valAx>
        <c:axId val="28589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   </a:t>
                </a:r>
              </a:p>
            </c:rich>
          </c:tx>
          <c:layout>
            <c:manualLayout>
              <c:xMode val="factor"/>
              <c:yMode val="factor"/>
              <c:x val="0.01025"/>
              <c:y val="0.0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4593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Forzanti radiative (W/m</a:t>
            </a:r>
            <a:r>
              <a:rPr lang="en-US" cap="none" sz="1800" b="1" i="0" u="none" baseline="30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42"/>
          <c:w val="0.95225"/>
          <c:h val="0.8445"/>
        </c:manualLayout>
      </c:layout>
      <c:lineChart>
        <c:grouping val="standard"/>
        <c:varyColors val="0"/>
        <c:ser>
          <c:idx val="0"/>
          <c:order val="0"/>
          <c:tx>
            <c:v>RF TOT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modello!$F$4:$F$354</c:f>
              <c:numCache>
                <c:ptCount val="351"/>
                <c:pt idx="0">
                  <c:v>1750</c:v>
                </c:pt>
                <c:pt idx="1">
                  <c:v>1751</c:v>
                </c:pt>
                <c:pt idx="2">
                  <c:v>1752</c:v>
                </c:pt>
                <c:pt idx="3">
                  <c:v>1753</c:v>
                </c:pt>
                <c:pt idx="4">
                  <c:v>1754</c:v>
                </c:pt>
                <c:pt idx="5">
                  <c:v>1755</c:v>
                </c:pt>
                <c:pt idx="6">
                  <c:v>1756</c:v>
                </c:pt>
                <c:pt idx="7">
                  <c:v>1757</c:v>
                </c:pt>
                <c:pt idx="8">
                  <c:v>1758</c:v>
                </c:pt>
                <c:pt idx="9">
                  <c:v>1759</c:v>
                </c:pt>
                <c:pt idx="10">
                  <c:v>1760</c:v>
                </c:pt>
                <c:pt idx="11">
                  <c:v>1761</c:v>
                </c:pt>
                <c:pt idx="12">
                  <c:v>1762</c:v>
                </c:pt>
                <c:pt idx="13">
                  <c:v>1763</c:v>
                </c:pt>
                <c:pt idx="14">
                  <c:v>1764</c:v>
                </c:pt>
                <c:pt idx="15">
                  <c:v>1765</c:v>
                </c:pt>
                <c:pt idx="16">
                  <c:v>1766</c:v>
                </c:pt>
                <c:pt idx="17">
                  <c:v>1767</c:v>
                </c:pt>
                <c:pt idx="18">
                  <c:v>1768</c:v>
                </c:pt>
                <c:pt idx="19">
                  <c:v>1769</c:v>
                </c:pt>
                <c:pt idx="20">
                  <c:v>1770</c:v>
                </c:pt>
                <c:pt idx="21">
                  <c:v>1771</c:v>
                </c:pt>
                <c:pt idx="22">
                  <c:v>1772</c:v>
                </c:pt>
                <c:pt idx="23">
                  <c:v>1773</c:v>
                </c:pt>
                <c:pt idx="24">
                  <c:v>1774</c:v>
                </c:pt>
                <c:pt idx="25">
                  <c:v>1775</c:v>
                </c:pt>
                <c:pt idx="26">
                  <c:v>1776</c:v>
                </c:pt>
                <c:pt idx="27">
                  <c:v>1777</c:v>
                </c:pt>
                <c:pt idx="28">
                  <c:v>1778</c:v>
                </c:pt>
                <c:pt idx="29">
                  <c:v>1779</c:v>
                </c:pt>
                <c:pt idx="30">
                  <c:v>1780</c:v>
                </c:pt>
                <c:pt idx="31">
                  <c:v>1781</c:v>
                </c:pt>
                <c:pt idx="32">
                  <c:v>1782</c:v>
                </c:pt>
                <c:pt idx="33">
                  <c:v>1783</c:v>
                </c:pt>
                <c:pt idx="34">
                  <c:v>1784</c:v>
                </c:pt>
                <c:pt idx="35">
                  <c:v>1785</c:v>
                </c:pt>
                <c:pt idx="36">
                  <c:v>1786</c:v>
                </c:pt>
                <c:pt idx="37">
                  <c:v>1787</c:v>
                </c:pt>
                <c:pt idx="38">
                  <c:v>1788</c:v>
                </c:pt>
                <c:pt idx="39">
                  <c:v>1789</c:v>
                </c:pt>
                <c:pt idx="40">
                  <c:v>1790</c:v>
                </c:pt>
                <c:pt idx="41">
                  <c:v>1791</c:v>
                </c:pt>
                <c:pt idx="42">
                  <c:v>1792</c:v>
                </c:pt>
                <c:pt idx="43">
                  <c:v>1793</c:v>
                </c:pt>
                <c:pt idx="44">
                  <c:v>1794</c:v>
                </c:pt>
                <c:pt idx="45">
                  <c:v>1795</c:v>
                </c:pt>
                <c:pt idx="46">
                  <c:v>1796</c:v>
                </c:pt>
                <c:pt idx="47">
                  <c:v>1797</c:v>
                </c:pt>
                <c:pt idx="48">
                  <c:v>1798</c:v>
                </c:pt>
                <c:pt idx="49">
                  <c:v>1799</c:v>
                </c:pt>
                <c:pt idx="50">
                  <c:v>1800</c:v>
                </c:pt>
                <c:pt idx="51">
                  <c:v>1801</c:v>
                </c:pt>
                <c:pt idx="52">
                  <c:v>1802</c:v>
                </c:pt>
                <c:pt idx="53">
                  <c:v>1803</c:v>
                </c:pt>
                <c:pt idx="54">
                  <c:v>1804</c:v>
                </c:pt>
                <c:pt idx="55">
                  <c:v>1805</c:v>
                </c:pt>
                <c:pt idx="56">
                  <c:v>1806</c:v>
                </c:pt>
                <c:pt idx="57">
                  <c:v>1807</c:v>
                </c:pt>
                <c:pt idx="58">
                  <c:v>1808</c:v>
                </c:pt>
                <c:pt idx="59">
                  <c:v>1809</c:v>
                </c:pt>
                <c:pt idx="60">
                  <c:v>1810</c:v>
                </c:pt>
                <c:pt idx="61">
                  <c:v>1811</c:v>
                </c:pt>
                <c:pt idx="62">
                  <c:v>1812</c:v>
                </c:pt>
                <c:pt idx="63">
                  <c:v>1813</c:v>
                </c:pt>
                <c:pt idx="64">
                  <c:v>1814</c:v>
                </c:pt>
                <c:pt idx="65">
                  <c:v>1815</c:v>
                </c:pt>
                <c:pt idx="66">
                  <c:v>1816</c:v>
                </c:pt>
                <c:pt idx="67">
                  <c:v>1817</c:v>
                </c:pt>
                <c:pt idx="68">
                  <c:v>1818</c:v>
                </c:pt>
                <c:pt idx="69">
                  <c:v>1819</c:v>
                </c:pt>
                <c:pt idx="70">
                  <c:v>1820</c:v>
                </c:pt>
                <c:pt idx="71">
                  <c:v>1821</c:v>
                </c:pt>
                <c:pt idx="72">
                  <c:v>1822</c:v>
                </c:pt>
                <c:pt idx="73">
                  <c:v>1823</c:v>
                </c:pt>
                <c:pt idx="74">
                  <c:v>1824</c:v>
                </c:pt>
                <c:pt idx="75">
                  <c:v>1825</c:v>
                </c:pt>
                <c:pt idx="76">
                  <c:v>1826</c:v>
                </c:pt>
                <c:pt idx="77">
                  <c:v>1827</c:v>
                </c:pt>
                <c:pt idx="78">
                  <c:v>1828</c:v>
                </c:pt>
                <c:pt idx="79">
                  <c:v>1829</c:v>
                </c:pt>
                <c:pt idx="80">
                  <c:v>1830</c:v>
                </c:pt>
                <c:pt idx="81">
                  <c:v>1831</c:v>
                </c:pt>
                <c:pt idx="82">
                  <c:v>1832</c:v>
                </c:pt>
                <c:pt idx="83">
                  <c:v>1833</c:v>
                </c:pt>
                <c:pt idx="84">
                  <c:v>1834</c:v>
                </c:pt>
                <c:pt idx="85">
                  <c:v>1835</c:v>
                </c:pt>
                <c:pt idx="86">
                  <c:v>1836</c:v>
                </c:pt>
                <c:pt idx="87">
                  <c:v>1837</c:v>
                </c:pt>
                <c:pt idx="88">
                  <c:v>1838</c:v>
                </c:pt>
                <c:pt idx="89">
                  <c:v>1839</c:v>
                </c:pt>
                <c:pt idx="90">
                  <c:v>1840</c:v>
                </c:pt>
                <c:pt idx="91">
                  <c:v>1841</c:v>
                </c:pt>
                <c:pt idx="92">
                  <c:v>1842</c:v>
                </c:pt>
                <c:pt idx="93">
                  <c:v>1843</c:v>
                </c:pt>
                <c:pt idx="94">
                  <c:v>1844</c:v>
                </c:pt>
                <c:pt idx="95">
                  <c:v>1845</c:v>
                </c:pt>
                <c:pt idx="96">
                  <c:v>1846</c:v>
                </c:pt>
                <c:pt idx="97">
                  <c:v>1847</c:v>
                </c:pt>
                <c:pt idx="98">
                  <c:v>1848</c:v>
                </c:pt>
                <c:pt idx="99">
                  <c:v>1849</c:v>
                </c:pt>
                <c:pt idx="100">
                  <c:v>1850</c:v>
                </c:pt>
                <c:pt idx="101">
                  <c:v>1851</c:v>
                </c:pt>
                <c:pt idx="102">
                  <c:v>1852</c:v>
                </c:pt>
                <c:pt idx="103">
                  <c:v>1853</c:v>
                </c:pt>
                <c:pt idx="104">
                  <c:v>1854</c:v>
                </c:pt>
                <c:pt idx="105">
                  <c:v>1855</c:v>
                </c:pt>
                <c:pt idx="106">
                  <c:v>1856</c:v>
                </c:pt>
                <c:pt idx="107">
                  <c:v>1857</c:v>
                </c:pt>
                <c:pt idx="108">
                  <c:v>1858</c:v>
                </c:pt>
                <c:pt idx="109">
                  <c:v>1859</c:v>
                </c:pt>
                <c:pt idx="110">
                  <c:v>1860</c:v>
                </c:pt>
                <c:pt idx="111">
                  <c:v>1861</c:v>
                </c:pt>
                <c:pt idx="112">
                  <c:v>1862</c:v>
                </c:pt>
                <c:pt idx="113">
                  <c:v>1863</c:v>
                </c:pt>
                <c:pt idx="114">
                  <c:v>1864</c:v>
                </c:pt>
                <c:pt idx="115">
                  <c:v>1865</c:v>
                </c:pt>
                <c:pt idx="116">
                  <c:v>1866</c:v>
                </c:pt>
                <c:pt idx="117">
                  <c:v>1867</c:v>
                </c:pt>
                <c:pt idx="118">
                  <c:v>1868</c:v>
                </c:pt>
                <c:pt idx="119">
                  <c:v>1869</c:v>
                </c:pt>
                <c:pt idx="120">
                  <c:v>1870</c:v>
                </c:pt>
                <c:pt idx="121">
                  <c:v>1871</c:v>
                </c:pt>
                <c:pt idx="122">
                  <c:v>1872</c:v>
                </c:pt>
                <c:pt idx="123">
                  <c:v>1873</c:v>
                </c:pt>
                <c:pt idx="124">
                  <c:v>1874</c:v>
                </c:pt>
                <c:pt idx="125">
                  <c:v>1875</c:v>
                </c:pt>
                <c:pt idx="126">
                  <c:v>1876</c:v>
                </c:pt>
                <c:pt idx="127">
                  <c:v>1877</c:v>
                </c:pt>
                <c:pt idx="128">
                  <c:v>1878</c:v>
                </c:pt>
                <c:pt idx="129">
                  <c:v>1879</c:v>
                </c:pt>
                <c:pt idx="130">
                  <c:v>1880</c:v>
                </c:pt>
                <c:pt idx="131">
                  <c:v>1881</c:v>
                </c:pt>
                <c:pt idx="132">
                  <c:v>1882</c:v>
                </c:pt>
                <c:pt idx="133">
                  <c:v>1883</c:v>
                </c:pt>
                <c:pt idx="134">
                  <c:v>1884</c:v>
                </c:pt>
                <c:pt idx="135">
                  <c:v>1885</c:v>
                </c:pt>
                <c:pt idx="136">
                  <c:v>1886</c:v>
                </c:pt>
                <c:pt idx="137">
                  <c:v>1887</c:v>
                </c:pt>
                <c:pt idx="138">
                  <c:v>1888</c:v>
                </c:pt>
                <c:pt idx="139">
                  <c:v>1889</c:v>
                </c:pt>
                <c:pt idx="140">
                  <c:v>1890</c:v>
                </c:pt>
                <c:pt idx="141">
                  <c:v>1891</c:v>
                </c:pt>
                <c:pt idx="142">
                  <c:v>1892</c:v>
                </c:pt>
                <c:pt idx="143">
                  <c:v>1893</c:v>
                </c:pt>
                <c:pt idx="144">
                  <c:v>1894</c:v>
                </c:pt>
                <c:pt idx="145">
                  <c:v>1895</c:v>
                </c:pt>
                <c:pt idx="146">
                  <c:v>1896</c:v>
                </c:pt>
                <c:pt idx="147">
                  <c:v>1897</c:v>
                </c:pt>
                <c:pt idx="148">
                  <c:v>1898</c:v>
                </c:pt>
                <c:pt idx="149">
                  <c:v>1899</c:v>
                </c:pt>
                <c:pt idx="150">
                  <c:v>1900</c:v>
                </c:pt>
                <c:pt idx="151">
                  <c:v>1901</c:v>
                </c:pt>
                <c:pt idx="152">
                  <c:v>1902</c:v>
                </c:pt>
                <c:pt idx="153">
                  <c:v>1903</c:v>
                </c:pt>
                <c:pt idx="154">
                  <c:v>1904</c:v>
                </c:pt>
                <c:pt idx="155">
                  <c:v>1905</c:v>
                </c:pt>
                <c:pt idx="156">
                  <c:v>1906</c:v>
                </c:pt>
                <c:pt idx="157">
                  <c:v>1907</c:v>
                </c:pt>
                <c:pt idx="158">
                  <c:v>1908</c:v>
                </c:pt>
                <c:pt idx="159">
                  <c:v>1909</c:v>
                </c:pt>
                <c:pt idx="160">
                  <c:v>1910</c:v>
                </c:pt>
                <c:pt idx="161">
                  <c:v>1911</c:v>
                </c:pt>
                <c:pt idx="162">
                  <c:v>1912</c:v>
                </c:pt>
                <c:pt idx="163">
                  <c:v>1913</c:v>
                </c:pt>
                <c:pt idx="164">
                  <c:v>1914</c:v>
                </c:pt>
                <c:pt idx="165">
                  <c:v>1915</c:v>
                </c:pt>
                <c:pt idx="166">
                  <c:v>1916</c:v>
                </c:pt>
                <c:pt idx="167">
                  <c:v>1917</c:v>
                </c:pt>
                <c:pt idx="168">
                  <c:v>1918</c:v>
                </c:pt>
                <c:pt idx="169">
                  <c:v>1919</c:v>
                </c:pt>
                <c:pt idx="170">
                  <c:v>1920</c:v>
                </c:pt>
                <c:pt idx="171">
                  <c:v>1921</c:v>
                </c:pt>
                <c:pt idx="172">
                  <c:v>1922</c:v>
                </c:pt>
                <c:pt idx="173">
                  <c:v>1923</c:v>
                </c:pt>
                <c:pt idx="174">
                  <c:v>1924</c:v>
                </c:pt>
                <c:pt idx="175">
                  <c:v>1925</c:v>
                </c:pt>
                <c:pt idx="176">
                  <c:v>1926</c:v>
                </c:pt>
                <c:pt idx="177">
                  <c:v>1927</c:v>
                </c:pt>
                <c:pt idx="178">
                  <c:v>1928</c:v>
                </c:pt>
                <c:pt idx="179">
                  <c:v>1929</c:v>
                </c:pt>
                <c:pt idx="180">
                  <c:v>1930</c:v>
                </c:pt>
                <c:pt idx="181">
                  <c:v>1931</c:v>
                </c:pt>
                <c:pt idx="182">
                  <c:v>1932</c:v>
                </c:pt>
                <c:pt idx="183">
                  <c:v>1933</c:v>
                </c:pt>
                <c:pt idx="184">
                  <c:v>1934</c:v>
                </c:pt>
                <c:pt idx="185">
                  <c:v>1935</c:v>
                </c:pt>
                <c:pt idx="186">
                  <c:v>1936</c:v>
                </c:pt>
                <c:pt idx="187">
                  <c:v>1937</c:v>
                </c:pt>
                <c:pt idx="188">
                  <c:v>1938</c:v>
                </c:pt>
                <c:pt idx="189">
                  <c:v>1939</c:v>
                </c:pt>
                <c:pt idx="190">
                  <c:v>1940</c:v>
                </c:pt>
                <c:pt idx="191">
                  <c:v>1941</c:v>
                </c:pt>
                <c:pt idx="192">
                  <c:v>1942</c:v>
                </c:pt>
                <c:pt idx="193">
                  <c:v>1943</c:v>
                </c:pt>
                <c:pt idx="194">
                  <c:v>1944</c:v>
                </c:pt>
                <c:pt idx="195">
                  <c:v>1945</c:v>
                </c:pt>
                <c:pt idx="196">
                  <c:v>1946</c:v>
                </c:pt>
                <c:pt idx="197">
                  <c:v>1947</c:v>
                </c:pt>
                <c:pt idx="198">
                  <c:v>1948</c:v>
                </c:pt>
                <c:pt idx="199">
                  <c:v>1949</c:v>
                </c:pt>
                <c:pt idx="200">
                  <c:v>1950</c:v>
                </c:pt>
                <c:pt idx="201">
                  <c:v>1951</c:v>
                </c:pt>
                <c:pt idx="202">
                  <c:v>1952</c:v>
                </c:pt>
                <c:pt idx="203">
                  <c:v>1953</c:v>
                </c:pt>
                <c:pt idx="204">
                  <c:v>1954</c:v>
                </c:pt>
                <c:pt idx="205">
                  <c:v>1955</c:v>
                </c:pt>
                <c:pt idx="206">
                  <c:v>1956</c:v>
                </c:pt>
                <c:pt idx="207">
                  <c:v>1957</c:v>
                </c:pt>
                <c:pt idx="208">
                  <c:v>1958</c:v>
                </c:pt>
                <c:pt idx="209">
                  <c:v>1959</c:v>
                </c:pt>
                <c:pt idx="210">
                  <c:v>1960</c:v>
                </c:pt>
                <c:pt idx="211">
                  <c:v>1961</c:v>
                </c:pt>
                <c:pt idx="212">
                  <c:v>1962</c:v>
                </c:pt>
                <c:pt idx="213">
                  <c:v>1963</c:v>
                </c:pt>
                <c:pt idx="214">
                  <c:v>1964</c:v>
                </c:pt>
                <c:pt idx="215">
                  <c:v>1965</c:v>
                </c:pt>
                <c:pt idx="216">
                  <c:v>1966</c:v>
                </c:pt>
                <c:pt idx="217">
                  <c:v>1967</c:v>
                </c:pt>
                <c:pt idx="218">
                  <c:v>1968</c:v>
                </c:pt>
                <c:pt idx="219">
                  <c:v>1969</c:v>
                </c:pt>
                <c:pt idx="220">
                  <c:v>1970</c:v>
                </c:pt>
                <c:pt idx="221">
                  <c:v>1971</c:v>
                </c:pt>
                <c:pt idx="222">
                  <c:v>1972</c:v>
                </c:pt>
                <c:pt idx="223">
                  <c:v>1973</c:v>
                </c:pt>
                <c:pt idx="224">
                  <c:v>1974</c:v>
                </c:pt>
                <c:pt idx="225">
                  <c:v>1975</c:v>
                </c:pt>
                <c:pt idx="226">
                  <c:v>1976</c:v>
                </c:pt>
                <c:pt idx="227">
                  <c:v>1977</c:v>
                </c:pt>
                <c:pt idx="228">
                  <c:v>1978</c:v>
                </c:pt>
                <c:pt idx="229">
                  <c:v>1979</c:v>
                </c:pt>
                <c:pt idx="230">
                  <c:v>1980</c:v>
                </c:pt>
                <c:pt idx="231">
                  <c:v>1981</c:v>
                </c:pt>
                <c:pt idx="232">
                  <c:v>1982</c:v>
                </c:pt>
                <c:pt idx="233">
                  <c:v>1983</c:v>
                </c:pt>
                <c:pt idx="234">
                  <c:v>1984</c:v>
                </c:pt>
                <c:pt idx="235">
                  <c:v>1985</c:v>
                </c:pt>
                <c:pt idx="236">
                  <c:v>1986</c:v>
                </c:pt>
                <c:pt idx="237">
                  <c:v>1987</c:v>
                </c:pt>
                <c:pt idx="238">
                  <c:v>1988</c:v>
                </c:pt>
                <c:pt idx="239">
                  <c:v>1989</c:v>
                </c:pt>
                <c:pt idx="240">
                  <c:v>1990</c:v>
                </c:pt>
                <c:pt idx="241">
                  <c:v>1991</c:v>
                </c:pt>
                <c:pt idx="242">
                  <c:v>1992</c:v>
                </c:pt>
                <c:pt idx="243">
                  <c:v>1993</c:v>
                </c:pt>
                <c:pt idx="244">
                  <c:v>1994</c:v>
                </c:pt>
                <c:pt idx="245">
                  <c:v>1995</c:v>
                </c:pt>
                <c:pt idx="246">
                  <c:v>1996</c:v>
                </c:pt>
                <c:pt idx="247">
                  <c:v>1997</c:v>
                </c:pt>
                <c:pt idx="248">
                  <c:v>1998</c:v>
                </c:pt>
                <c:pt idx="249">
                  <c:v>1999</c:v>
                </c:pt>
                <c:pt idx="250">
                  <c:v>2000</c:v>
                </c:pt>
                <c:pt idx="251">
                  <c:v>2001</c:v>
                </c:pt>
                <c:pt idx="252">
                  <c:v>2002</c:v>
                </c:pt>
                <c:pt idx="253">
                  <c:v>2003</c:v>
                </c:pt>
                <c:pt idx="254">
                  <c:v>2004</c:v>
                </c:pt>
                <c:pt idx="255">
                  <c:v>2005</c:v>
                </c:pt>
                <c:pt idx="256">
                  <c:v>2006</c:v>
                </c:pt>
                <c:pt idx="257">
                  <c:v>2007</c:v>
                </c:pt>
                <c:pt idx="258">
                  <c:v>2008</c:v>
                </c:pt>
                <c:pt idx="259">
                  <c:v>2009</c:v>
                </c:pt>
                <c:pt idx="260">
                  <c:v>2010</c:v>
                </c:pt>
                <c:pt idx="261">
                  <c:v>2011</c:v>
                </c:pt>
                <c:pt idx="262">
                  <c:v>2012</c:v>
                </c:pt>
                <c:pt idx="263">
                  <c:v>2013</c:v>
                </c:pt>
                <c:pt idx="264">
                  <c:v>2014</c:v>
                </c:pt>
                <c:pt idx="265">
                  <c:v>2015</c:v>
                </c:pt>
                <c:pt idx="266">
                  <c:v>2016</c:v>
                </c:pt>
                <c:pt idx="267">
                  <c:v>2017</c:v>
                </c:pt>
                <c:pt idx="268">
                  <c:v>2018</c:v>
                </c:pt>
                <c:pt idx="269">
                  <c:v>2019</c:v>
                </c:pt>
                <c:pt idx="270">
                  <c:v>2020</c:v>
                </c:pt>
                <c:pt idx="271">
                  <c:v>2021</c:v>
                </c:pt>
                <c:pt idx="272">
                  <c:v>2022</c:v>
                </c:pt>
                <c:pt idx="273">
                  <c:v>2023</c:v>
                </c:pt>
                <c:pt idx="274">
                  <c:v>2024</c:v>
                </c:pt>
                <c:pt idx="275">
                  <c:v>2025</c:v>
                </c:pt>
                <c:pt idx="276">
                  <c:v>2026</c:v>
                </c:pt>
                <c:pt idx="277">
                  <c:v>2027</c:v>
                </c:pt>
                <c:pt idx="278">
                  <c:v>2028</c:v>
                </c:pt>
                <c:pt idx="279">
                  <c:v>2029</c:v>
                </c:pt>
                <c:pt idx="280">
                  <c:v>2030</c:v>
                </c:pt>
                <c:pt idx="281">
                  <c:v>2031</c:v>
                </c:pt>
                <c:pt idx="282">
                  <c:v>2032</c:v>
                </c:pt>
                <c:pt idx="283">
                  <c:v>2033</c:v>
                </c:pt>
                <c:pt idx="284">
                  <c:v>2034</c:v>
                </c:pt>
                <c:pt idx="285">
                  <c:v>2035</c:v>
                </c:pt>
                <c:pt idx="286">
                  <c:v>2036</c:v>
                </c:pt>
                <c:pt idx="287">
                  <c:v>2037</c:v>
                </c:pt>
                <c:pt idx="288">
                  <c:v>2038</c:v>
                </c:pt>
                <c:pt idx="289">
                  <c:v>2039</c:v>
                </c:pt>
                <c:pt idx="290">
                  <c:v>2040</c:v>
                </c:pt>
                <c:pt idx="291">
                  <c:v>2041</c:v>
                </c:pt>
                <c:pt idx="292">
                  <c:v>2042</c:v>
                </c:pt>
                <c:pt idx="293">
                  <c:v>2043</c:v>
                </c:pt>
                <c:pt idx="294">
                  <c:v>2044</c:v>
                </c:pt>
                <c:pt idx="295">
                  <c:v>2045</c:v>
                </c:pt>
                <c:pt idx="296">
                  <c:v>2046</c:v>
                </c:pt>
                <c:pt idx="297">
                  <c:v>2047</c:v>
                </c:pt>
                <c:pt idx="298">
                  <c:v>2048</c:v>
                </c:pt>
                <c:pt idx="299">
                  <c:v>2049</c:v>
                </c:pt>
                <c:pt idx="300">
                  <c:v>2050</c:v>
                </c:pt>
                <c:pt idx="301">
                  <c:v>2051</c:v>
                </c:pt>
                <c:pt idx="302">
                  <c:v>2052</c:v>
                </c:pt>
                <c:pt idx="303">
                  <c:v>2053</c:v>
                </c:pt>
                <c:pt idx="304">
                  <c:v>2054</c:v>
                </c:pt>
                <c:pt idx="305">
                  <c:v>2055</c:v>
                </c:pt>
                <c:pt idx="306">
                  <c:v>2056</c:v>
                </c:pt>
                <c:pt idx="307">
                  <c:v>2057</c:v>
                </c:pt>
                <c:pt idx="308">
                  <c:v>2058</c:v>
                </c:pt>
                <c:pt idx="309">
                  <c:v>2059</c:v>
                </c:pt>
                <c:pt idx="310">
                  <c:v>2060</c:v>
                </c:pt>
                <c:pt idx="311">
                  <c:v>2061</c:v>
                </c:pt>
                <c:pt idx="312">
                  <c:v>2062</c:v>
                </c:pt>
                <c:pt idx="313">
                  <c:v>2063</c:v>
                </c:pt>
                <c:pt idx="314">
                  <c:v>2064</c:v>
                </c:pt>
                <c:pt idx="315">
                  <c:v>2065</c:v>
                </c:pt>
                <c:pt idx="316">
                  <c:v>2066</c:v>
                </c:pt>
                <c:pt idx="317">
                  <c:v>2067</c:v>
                </c:pt>
                <c:pt idx="318">
                  <c:v>2068</c:v>
                </c:pt>
                <c:pt idx="319">
                  <c:v>2069</c:v>
                </c:pt>
                <c:pt idx="320">
                  <c:v>2070</c:v>
                </c:pt>
                <c:pt idx="321">
                  <c:v>2071</c:v>
                </c:pt>
                <c:pt idx="322">
                  <c:v>2072</c:v>
                </c:pt>
                <c:pt idx="323">
                  <c:v>2073</c:v>
                </c:pt>
                <c:pt idx="324">
                  <c:v>2074</c:v>
                </c:pt>
                <c:pt idx="325">
                  <c:v>2075</c:v>
                </c:pt>
                <c:pt idx="326">
                  <c:v>2076</c:v>
                </c:pt>
                <c:pt idx="327">
                  <c:v>2077</c:v>
                </c:pt>
                <c:pt idx="328">
                  <c:v>2078</c:v>
                </c:pt>
                <c:pt idx="329">
                  <c:v>2079</c:v>
                </c:pt>
                <c:pt idx="330">
                  <c:v>2080</c:v>
                </c:pt>
                <c:pt idx="331">
                  <c:v>2081</c:v>
                </c:pt>
                <c:pt idx="332">
                  <c:v>2082</c:v>
                </c:pt>
                <c:pt idx="333">
                  <c:v>2083</c:v>
                </c:pt>
                <c:pt idx="334">
                  <c:v>2084</c:v>
                </c:pt>
                <c:pt idx="335">
                  <c:v>2085</c:v>
                </c:pt>
                <c:pt idx="336">
                  <c:v>2086</c:v>
                </c:pt>
                <c:pt idx="337">
                  <c:v>2087</c:v>
                </c:pt>
                <c:pt idx="338">
                  <c:v>2088</c:v>
                </c:pt>
                <c:pt idx="339">
                  <c:v>2089</c:v>
                </c:pt>
                <c:pt idx="340">
                  <c:v>2090</c:v>
                </c:pt>
                <c:pt idx="341">
                  <c:v>2091</c:v>
                </c:pt>
                <c:pt idx="342">
                  <c:v>2092</c:v>
                </c:pt>
                <c:pt idx="343">
                  <c:v>2093</c:v>
                </c:pt>
                <c:pt idx="344">
                  <c:v>2094</c:v>
                </c:pt>
                <c:pt idx="345">
                  <c:v>2095</c:v>
                </c:pt>
                <c:pt idx="346">
                  <c:v>2096</c:v>
                </c:pt>
                <c:pt idx="347">
                  <c:v>2097</c:v>
                </c:pt>
                <c:pt idx="348">
                  <c:v>2098</c:v>
                </c:pt>
                <c:pt idx="349">
                  <c:v>2099</c:v>
                </c:pt>
                <c:pt idx="350">
                  <c:v>2100</c:v>
                </c:pt>
              </c:numCache>
            </c:numRef>
          </c:cat>
          <c:val>
            <c:numRef>
              <c:f>modello!$BB$4:$BB$354</c:f>
              <c:numCache>
                <c:ptCount val="351"/>
                <c:pt idx="0">
                  <c:v>-0.0200666065058796</c:v>
                </c:pt>
                <c:pt idx="1">
                  <c:v>-0.041297039169341694</c:v>
                </c:pt>
                <c:pt idx="2">
                  <c:v>-0.05995897577824449</c:v>
                </c:pt>
                <c:pt idx="3">
                  <c:v>-0.07627086058387009</c:v>
                </c:pt>
                <c:pt idx="4">
                  <c:v>-0.0904688389720044</c:v>
                </c:pt>
                <c:pt idx="5">
                  <c:v>-0.10274962974763288</c:v>
                </c:pt>
                <c:pt idx="6">
                  <c:v>-0.1133136904880895</c:v>
                </c:pt>
                <c:pt idx="7">
                  <c:v>-0.12233559465600792</c:v>
                </c:pt>
                <c:pt idx="8">
                  <c:v>-0.12998409622135423</c:v>
                </c:pt>
                <c:pt idx="9">
                  <c:v>-0.13640825150565924</c:v>
                </c:pt>
                <c:pt idx="10">
                  <c:v>-0.14174728335332828</c:v>
                </c:pt>
                <c:pt idx="11">
                  <c:v>-0.14612449977863687</c:v>
                </c:pt>
                <c:pt idx="12">
                  <c:v>-0.14965249648678092</c:v>
                </c:pt>
                <c:pt idx="13">
                  <c:v>-0.15243083281111158</c:v>
                </c:pt>
                <c:pt idx="14">
                  <c:v>-0.15454903775337153</c:v>
                </c:pt>
                <c:pt idx="15">
                  <c:v>-0.15608603356320364</c:v>
                </c:pt>
                <c:pt idx="16">
                  <c:v>-0.15711204807756596</c:v>
                </c:pt>
                <c:pt idx="17">
                  <c:v>-0.15768879522659715</c:v>
                </c:pt>
                <c:pt idx="18">
                  <c:v>-0.1578707926245846</c:v>
                </c:pt>
                <c:pt idx="19">
                  <c:v>-0.15770582003625544</c:v>
                </c:pt>
                <c:pt idx="20">
                  <c:v>-0.1572358766884562</c:v>
                </c:pt>
                <c:pt idx="21">
                  <c:v>-0.1564976955637443</c:v>
                </c:pt>
                <c:pt idx="22">
                  <c:v>-0.1555234595358604</c:v>
                </c:pt>
                <c:pt idx="23">
                  <c:v>-0.15434127686460533</c:v>
                </c:pt>
                <c:pt idx="24">
                  <c:v>-0.15297572399045098</c:v>
                </c:pt>
                <c:pt idx="25">
                  <c:v>-0.15144824928684408</c:v>
                </c:pt>
                <c:pt idx="26">
                  <c:v>-0.14977758616684586</c:v>
                </c:pt>
                <c:pt idx="27">
                  <c:v>-0.14798008052657538</c:v>
                </c:pt>
                <c:pt idx="28">
                  <c:v>-0.14607000506276016</c:v>
                </c:pt>
                <c:pt idx="29">
                  <c:v>-0.14405981765208042</c:v>
                </c:pt>
                <c:pt idx="30">
                  <c:v>-0.14196040001194077</c:v>
                </c:pt>
                <c:pt idx="31">
                  <c:v>-0.13978125809198438</c:v>
                </c:pt>
                <c:pt idx="32">
                  <c:v>-0.13753070283679023</c:v>
                </c:pt>
                <c:pt idx="33">
                  <c:v>-0.1352160038719777</c:v>
                </c:pt>
                <c:pt idx="34">
                  <c:v>-0.1328435261001761</c:v>
                </c:pt>
                <c:pt idx="35">
                  <c:v>-0.13041884670523635</c:v>
                </c:pt>
                <c:pt idx="36">
                  <c:v>-0.12794685818387144</c:v>
                </c:pt>
                <c:pt idx="37">
                  <c:v>-0.12543185700005885</c:v>
                </c:pt>
                <c:pt idx="38">
                  <c:v>-0.1228776212002841</c:v>
                </c:pt>
                <c:pt idx="39">
                  <c:v>-0.12028747738801854</c:v>
                </c:pt>
                <c:pt idx="40">
                  <c:v>-0.11766435915008282</c:v>
                </c:pt>
                <c:pt idx="41">
                  <c:v>-0.11501085756814014</c:v>
                </c:pt>
                <c:pt idx="42">
                  <c:v>-0.11232926519169269</c:v>
                </c:pt>
                <c:pt idx="43">
                  <c:v>-0.10962161410650845</c:v>
                </c:pt>
                <c:pt idx="44">
                  <c:v>-0.10688970903963843</c:v>
                </c:pt>
                <c:pt idx="45">
                  <c:v>-0.10413515605174112</c:v>
                </c:pt>
                <c:pt idx="46">
                  <c:v>-0.10135938747930269</c:v>
                </c:pt>
                <c:pt idx="47">
                  <c:v>-0.09856368357518079</c:v>
                </c:pt>
                <c:pt idx="48">
                  <c:v>-0.09574919132364951</c:v>
                </c:pt>
                <c:pt idx="49">
                  <c:v>-0.09291694078272057</c:v>
                </c:pt>
                <c:pt idx="50">
                  <c:v>-0.09006785930078459</c:v>
                </c:pt>
                <c:pt idx="51">
                  <c:v>-0.08720828328199438</c:v>
                </c:pt>
                <c:pt idx="52">
                  <c:v>-0.08432870772232863</c:v>
                </c:pt>
                <c:pt idx="53">
                  <c:v>-0.08143047027921667</c:v>
                </c:pt>
                <c:pt idx="54">
                  <c:v>-0.07851437289314209</c:v>
                </c:pt>
                <c:pt idx="55">
                  <c:v>-0.07558136436839828</c:v>
                </c:pt>
                <c:pt idx="56">
                  <c:v>-0.07263211795646835</c:v>
                </c:pt>
                <c:pt idx="57">
                  <c:v>-0.06966735323944045</c:v>
                </c:pt>
                <c:pt idx="58">
                  <c:v>-0.06668763711542398</c:v>
                </c:pt>
                <c:pt idx="59">
                  <c:v>-0.06369353902034265</c:v>
                </c:pt>
                <c:pt idx="60">
                  <c:v>-0.060685538582677084</c:v>
                </c:pt>
                <c:pt idx="61">
                  <c:v>-0.057664101318636043</c:v>
                </c:pt>
                <c:pt idx="62">
                  <c:v>-0.054629636385066044</c:v>
                </c:pt>
                <c:pt idx="63">
                  <c:v>-0.051582533982421505</c:v>
                </c:pt>
                <c:pt idx="64">
                  <c:v>-0.04852314648260253</c:v>
                </c:pt>
                <c:pt idx="65">
                  <c:v>-0.04545180728278212</c:v>
                </c:pt>
                <c:pt idx="66">
                  <c:v>-0.042368822755705304</c:v>
                </c:pt>
                <c:pt idx="67">
                  <c:v>-0.039274482042549484</c:v>
                </c:pt>
                <c:pt idx="68">
                  <c:v>-0.036169053946050286</c:v>
                </c:pt>
                <c:pt idx="69">
                  <c:v>-0.03305279223810527</c:v>
                </c:pt>
                <c:pt idx="70">
                  <c:v>-0.029925934753772664</c:v>
                </c:pt>
                <c:pt idx="71">
                  <c:v>-0.026788706432665142</c:v>
                </c:pt>
                <c:pt idx="72">
                  <c:v>-0.023641319345835278</c:v>
                </c:pt>
                <c:pt idx="73">
                  <c:v>-0.020483974557106023</c:v>
                </c:pt>
                <c:pt idx="74">
                  <c:v>-0.017316862505573304</c:v>
                </c:pt>
                <c:pt idx="75">
                  <c:v>-0.014140164226352028</c:v>
                </c:pt>
                <c:pt idx="76">
                  <c:v>-0.010954051833365813</c:v>
                </c:pt>
                <c:pt idx="77">
                  <c:v>-0.0077586893734374815</c:v>
                </c:pt>
                <c:pt idx="78">
                  <c:v>-0.004554233302602583</c:v>
                </c:pt>
                <c:pt idx="79">
                  <c:v>-0.0013408331170867843</c:v>
                </c:pt>
                <c:pt idx="80">
                  <c:v>0.0018813682163254103</c:v>
                </c:pt>
                <c:pt idx="81">
                  <c:v>0.005112233773971752</c:v>
                </c:pt>
                <c:pt idx="82">
                  <c:v>0.00835163230089513</c:v>
                </c:pt>
                <c:pt idx="83">
                  <c:v>0.011599437823993693</c:v>
                </c:pt>
                <c:pt idx="84">
                  <c:v>0.01485552933150798</c:v>
                </c:pt>
                <c:pt idx="85">
                  <c:v>0.01811979045805821</c:v>
                </c:pt>
                <c:pt idx="86">
                  <c:v>0.021392109211741513</c:v>
                </c:pt>
                <c:pt idx="87">
                  <c:v>0.02467237771319327</c:v>
                </c:pt>
                <c:pt idx="88">
                  <c:v>0.027960491963146806</c:v>
                </c:pt>
                <c:pt idx="89">
                  <c:v>0.03125635162330613</c:v>
                </c:pt>
                <c:pt idx="90">
                  <c:v>0.034559859817704125</c:v>
                </c:pt>
                <c:pt idx="91">
                  <c:v>0.03787092294665194</c:v>
                </c:pt>
                <c:pt idx="92">
                  <c:v>0.041189450516151624</c:v>
                </c:pt>
                <c:pt idx="93">
                  <c:v>0.04451535497846661</c:v>
                </c:pt>
                <c:pt idx="94">
                  <c:v>0.04784855158479309</c:v>
                </c:pt>
                <c:pt idx="95">
                  <c:v>0.05118895824754854</c:v>
                </c:pt>
                <c:pt idx="96">
                  <c:v>0.05453649541238717</c:v>
                </c:pt>
                <c:pt idx="97">
                  <c:v>0.05789108593840327</c:v>
                </c:pt>
                <c:pt idx="98">
                  <c:v>0.06125265498630253</c:v>
                </c:pt>
                <c:pt idx="99">
                  <c:v>0.06462112991354133</c:v>
                </c:pt>
                <c:pt idx="100">
                  <c:v>0.06799644017606733</c:v>
                </c:pt>
                <c:pt idx="101">
                  <c:v>0.06637437477317823</c:v>
                </c:pt>
                <c:pt idx="102">
                  <c:v>0.06490631150625462</c:v>
                </c:pt>
                <c:pt idx="103">
                  <c:v>0.06357569143291816</c:v>
                </c:pt>
                <c:pt idx="104">
                  <c:v>0.062371104496520884</c:v>
                </c:pt>
                <c:pt idx="105">
                  <c:v>0.061283224009643596</c:v>
                </c:pt>
                <c:pt idx="106">
                  <c:v>0.06030469073383206</c:v>
                </c:pt>
                <c:pt idx="107">
                  <c:v>0.05942921890905766</c:v>
                </c:pt>
                <c:pt idx="108">
                  <c:v>0.05865163125615147</c:v>
                </c:pt>
                <c:pt idx="109">
                  <c:v>0.05796743443051195</c:v>
                </c:pt>
                <c:pt idx="110">
                  <c:v>0.057372820777737366</c:v>
                </c:pt>
                <c:pt idx="111">
                  <c:v>0.056864444593739405</c:v>
                </c:pt>
                <c:pt idx="112">
                  <c:v>0.0564394061939655</c:v>
                </c:pt>
                <c:pt idx="113">
                  <c:v>0.05609512921444473</c:v>
                </c:pt>
                <c:pt idx="114">
                  <c:v>0.055829340708052365</c:v>
                </c:pt>
                <c:pt idx="115">
                  <c:v>0.055640001249337455</c:v>
                </c:pt>
                <c:pt idx="116">
                  <c:v>0.05552528630622478</c:v>
                </c:pt>
                <c:pt idx="117">
                  <c:v>0.055483544507292086</c:v>
                </c:pt>
                <c:pt idx="118">
                  <c:v>0.05551328177319592</c:v>
                </c:pt>
                <c:pt idx="119">
                  <c:v>0.05561313504019243</c:v>
                </c:pt>
                <c:pt idx="120">
                  <c:v>0.055781859272988996</c:v>
                </c:pt>
                <c:pt idx="121">
                  <c:v>0.056018310028820406</c:v>
                </c:pt>
                <c:pt idx="122">
                  <c:v>0.05632143303804403</c:v>
                </c:pt>
                <c:pt idx="123">
                  <c:v>0.056690252092502905</c:v>
                </c:pt>
                <c:pt idx="124">
                  <c:v>0.05712386077920041</c:v>
                </c:pt>
                <c:pt idx="125">
                  <c:v>0.057621413758904574</c:v>
                </c:pt>
                <c:pt idx="126">
                  <c:v>0.05818212025302538</c:v>
                </c:pt>
                <c:pt idx="127">
                  <c:v>0.05880523759737798</c:v>
                </c:pt>
                <c:pt idx="128">
                  <c:v>0.059490066133287334</c:v>
                </c:pt>
                <c:pt idx="129">
                  <c:v>0.06023594435680939</c:v>
                </c:pt>
                <c:pt idx="130">
                  <c:v>0.06104224492297591</c:v>
                </c:pt>
                <c:pt idx="131">
                  <c:v>0.061908370951757594</c:v>
                </c:pt>
                <c:pt idx="132">
                  <c:v>0.0628337529085895</c:v>
                </c:pt>
                <c:pt idx="133">
                  <c:v>0.06381784576891261</c:v>
                </c:pt>
                <c:pt idx="134">
                  <c:v>0.06486012658513768</c:v>
                </c:pt>
                <c:pt idx="135">
                  <c:v>0.06596009229853671</c:v>
                </c:pt>
                <c:pt idx="136">
                  <c:v>0.06711725784205415</c:v>
                </c:pt>
                <c:pt idx="137">
                  <c:v>0.06833115444519891</c:v>
                </c:pt>
                <c:pt idx="138">
                  <c:v>0.06960132815409886</c:v>
                </c:pt>
                <c:pt idx="139">
                  <c:v>0.07092733851419727</c:v>
                </c:pt>
                <c:pt idx="140">
                  <c:v>0.07230875741460156</c:v>
                </c:pt>
                <c:pt idx="141">
                  <c:v>0.07374516806140859</c:v>
                </c:pt>
                <c:pt idx="142">
                  <c:v>0.07523616407374784</c:v>
                </c:pt>
                <c:pt idx="143">
                  <c:v>0.07678134868117505</c:v>
                </c:pt>
                <c:pt idx="144">
                  <c:v>0.07838033401485572</c:v>
                </c:pt>
                <c:pt idx="145">
                  <c:v>0.08003274047793887</c:v>
                </c:pt>
                <c:pt idx="146">
                  <c:v>0.08173819618790126</c:v>
                </c:pt>
                <c:pt idx="147">
                  <c:v>0.08349633648053698</c:v>
                </c:pt>
                <c:pt idx="148">
                  <c:v>0.08530680346933181</c:v>
                </c:pt>
                <c:pt idx="149">
                  <c:v>0.08716924565270817</c:v>
                </c:pt>
                <c:pt idx="150">
                  <c:v>0.08908331756394072</c:v>
                </c:pt>
                <c:pt idx="151">
                  <c:v>0.09068090692945818</c:v>
                </c:pt>
                <c:pt idx="152">
                  <c:v>0.0925044874157839</c:v>
                </c:pt>
                <c:pt idx="153">
                  <c:v>0.09454001720118324</c:v>
                </c:pt>
                <c:pt idx="154">
                  <c:v>0.09678017097778296</c:v>
                </c:pt>
                <c:pt idx="155">
                  <c:v>0.09921557294493627</c:v>
                </c:pt>
                <c:pt idx="156">
                  <c:v>0.10184032175737412</c:v>
                </c:pt>
                <c:pt idx="157">
                  <c:v>0.10464762813985046</c:v>
                </c:pt>
                <c:pt idx="158">
                  <c:v>0.10763264096201816</c:v>
                </c:pt>
                <c:pt idx="159">
                  <c:v>0.11079020380530119</c:v>
                </c:pt>
                <c:pt idx="160">
                  <c:v>0.1141162853195048</c:v>
                </c:pt>
                <c:pt idx="161">
                  <c:v>0.11760681293206568</c:v>
                </c:pt>
                <c:pt idx="162">
                  <c:v>0.12125839447307993</c:v>
                </c:pt>
                <c:pt idx="163">
                  <c:v>0.12506770617384072</c:v>
                </c:pt>
                <c:pt idx="164">
                  <c:v>0.1290318549231532</c:v>
                </c:pt>
                <c:pt idx="165">
                  <c:v>0.1331480532985083</c:v>
                </c:pt>
                <c:pt idx="166">
                  <c:v>0.13741379954029928</c:v>
                </c:pt>
                <c:pt idx="167">
                  <c:v>0.14182670224349986</c:v>
                </c:pt>
                <c:pt idx="168">
                  <c:v>0.14638456801399752</c:v>
                </c:pt>
                <c:pt idx="169">
                  <c:v>0.15108530491246155</c:v>
                </c:pt>
                <c:pt idx="170">
                  <c:v>0.15592696359585603</c:v>
                </c:pt>
                <c:pt idx="171">
                  <c:v>0.16090768271660394</c:v>
                </c:pt>
                <c:pt idx="172">
                  <c:v>0.1660257068825093</c:v>
                </c:pt>
                <c:pt idx="173">
                  <c:v>0.1712793547769935</c:v>
                </c:pt>
                <c:pt idx="174">
                  <c:v>0.17666702580125565</c:v>
                </c:pt>
                <c:pt idx="175">
                  <c:v>0.1821871807630308</c:v>
                </c:pt>
                <c:pt idx="176">
                  <c:v>0.18783834319920095</c:v>
                </c:pt>
                <c:pt idx="177">
                  <c:v>0.19361908720447324</c:v>
                </c:pt>
                <c:pt idx="178">
                  <c:v>0.19952803643252157</c:v>
                </c:pt>
                <c:pt idx="179">
                  <c:v>0.20556385611258954</c:v>
                </c:pt>
                <c:pt idx="180">
                  <c:v>0.21172525119631475</c:v>
                </c:pt>
                <c:pt idx="181">
                  <c:v>0.21801096092210237</c:v>
                </c:pt>
                <c:pt idx="182">
                  <c:v>0.22441975679835957</c:v>
                </c:pt>
                <c:pt idx="183">
                  <c:v>0.23095043877967653</c:v>
                </c:pt>
                <c:pt idx="184">
                  <c:v>0.2376018333880412</c:v>
                </c:pt>
                <c:pt idx="185">
                  <c:v>0.24437279094944664</c:v>
                </c:pt>
                <c:pt idx="186">
                  <c:v>0.2512621839637553</c:v>
                </c:pt>
                <c:pt idx="187">
                  <c:v>0.2582689050649792</c:v>
                </c:pt>
                <c:pt idx="188">
                  <c:v>0.26539186566040085</c:v>
                </c:pt>
                <c:pt idx="189">
                  <c:v>0.27262999440077074</c:v>
                </c:pt>
                <c:pt idx="190">
                  <c:v>0.27998223606993694</c:v>
                </c:pt>
                <c:pt idx="191">
                  <c:v>0.2874475504239427</c:v>
                </c:pt>
                <c:pt idx="192">
                  <c:v>0.29502491129793995</c:v>
                </c:pt>
                <c:pt idx="193">
                  <c:v>0.30271330571776617</c:v>
                </c:pt>
                <c:pt idx="194">
                  <c:v>0.31051173318825553</c:v>
                </c:pt>
                <c:pt idx="195">
                  <c:v>0.31841920500920107</c:v>
                </c:pt>
                <c:pt idx="196">
                  <c:v>0.3264347437116645</c:v>
                </c:pt>
                <c:pt idx="197">
                  <c:v>0.3345573825289896</c:v>
                </c:pt>
                <c:pt idx="198">
                  <c:v>0.3427861649520766</c:v>
                </c:pt>
                <c:pt idx="199">
                  <c:v>0.3511201443189322</c:v>
                </c:pt>
                <c:pt idx="200">
                  <c:v>0.35955838346461183</c:v>
                </c:pt>
                <c:pt idx="201">
                  <c:v>0.3562413413478</c:v>
                </c:pt>
                <c:pt idx="202">
                  <c:v>0.35549324773074503</c:v>
                </c:pt>
                <c:pt idx="203">
                  <c:v>0.3569068651889513</c:v>
                </c:pt>
                <c:pt idx="204">
                  <c:v>0.36033353734941526</c:v>
                </c:pt>
                <c:pt idx="205">
                  <c:v>0.3655014918358765</c:v>
                </c:pt>
                <c:pt idx="206">
                  <c:v>0.37228295669153144</c:v>
                </c:pt>
                <c:pt idx="207">
                  <c:v>0.3804792069075323</c:v>
                </c:pt>
                <c:pt idx="208">
                  <c:v>0.3899763454802552</c:v>
                </c:pt>
                <c:pt idx="209">
                  <c:v>0.4006205755415995</c:v>
                </c:pt>
                <c:pt idx="210">
                  <c:v>0.412309323254367</c:v>
                </c:pt>
                <c:pt idx="211">
                  <c:v>0.4249178290677472</c:v>
                </c:pt>
                <c:pt idx="212">
                  <c:v>0.43835309566047104</c:v>
                </c:pt>
                <c:pt idx="213">
                  <c:v>0.4525100578152497</c:v>
                </c:pt>
                <c:pt idx="214">
                  <c:v>0.4673039875471054</c:v>
                </c:pt>
                <c:pt idx="215">
                  <c:v>0.482643886796059</c:v>
                </c:pt>
                <c:pt idx="216">
                  <c:v>0.49845225945312066</c:v>
                </c:pt>
                <c:pt idx="217">
                  <c:v>0.5146486537635975</c:v>
                </c:pt>
                <c:pt idx="218">
                  <c:v>0.5311619266093504</c:v>
                </c:pt>
                <c:pt idx="219">
                  <c:v>0.5479198530801775</c:v>
                </c:pt>
                <c:pt idx="220">
                  <c:v>0.565498512218165</c:v>
                </c:pt>
                <c:pt idx="221">
                  <c:v>0.58380327859885</c:v>
                </c:pt>
                <c:pt idx="222">
                  <c:v>0.6028226793755921</c:v>
                </c:pt>
                <c:pt idx="223">
                  <c:v>0.6224905740798485</c:v>
                </c:pt>
                <c:pt idx="224">
                  <c:v>0.6427943602617183</c:v>
                </c:pt>
                <c:pt idx="225">
                  <c:v>0.6636841469812003</c:v>
                </c:pt>
                <c:pt idx="226">
                  <c:v>0.6851462111463391</c:v>
                </c:pt>
                <c:pt idx="227">
                  <c:v>0.7070842240323773</c:v>
                </c:pt>
                <c:pt idx="228">
                  <c:v>0.7294839099240644</c:v>
                </c:pt>
                <c:pt idx="229">
                  <c:v>0.7523129860875244</c:v>
                </c:pt>
                <c:pt idx="230">
                  <c:v>0.7755570483131524</c:v>
                </c:pt>
                <c:pt idx="231">
                  <c:v>0.799188769291286</c:v>
                </c:pt>
                <c:pt idx="232">
                  <c:v>0.8231939219265538</c:v>
                </c:pt>
                <c:pt idx="233">
                  <c:v>0.8475487840665835</c:v>
                </c:pt>
                <c:pt idx="234">
                  <c:v>0.872239501573085</c:v>
                </c:pt>
                <c:pt idx="235">
                  <c:v>0.897245073979489</c:v>
                </c:pt>
                <c:pt idx="236">
                  <c:v>0.9225521452637505</c:v>
                </c:pt>
                <c:pt idx="237">
                  <c:v>0.947614438340155</c:v>
                </c:pt>
                <c:pt idx="238">
                  <c:v>0.9724974639999828</c:v>
                </c:pt>
                <c:pt idx="239">
                  <c:v>0.996918212893493</c:v>
                </c:pt>
                <c:pt idx="240">
                  <c:v>1.021123250016378</c:v>
                </c:pt>
                <c:pt idx="241">
                  <c:v>1.0450980834654389</c:v>
                </c:pt>
                <c:pt idx="242">
                  <c:v>1.068880019397969</c:v>
                </c:pt>
                <c:pt idx="243">
                  <c:v>1.0924525513835528</c:v>
                </c:pt>
                <c:pt idx="244">
                  <c:v>1.1158730876554461</c:v>
                </c:pt>
                <c:pt idx="245">
                  <c:v>1.139096117207605</c:v>
                </c:pt>
                <c:pt idx="246">
                  <c:v>1.162173497344742</c:v>
                </c:pt>
                <c:pt idx="247">
                  <c:v>1.1850313876029945</c:v>
                </c:pt>
                <c:pt idx="248">
                  <c:v>1.207717928085866</c:v>
                </c:pt>
                <c:pt idx="249">
                  <c:v>1.2302156050845658</c:v>
                </c:pt>
                <c:pt idx="250">
                  <c:v>1.258536842366229</c:v>
                </c:pt>
                <c:pt idx="251">
                  <c:v>1.2919783863755576</c:v>
                </c:pt>
                <c:pt idx="252">
                  <c:v>1.32452806764422</c:v>
                </c:pt>
                <c:pt idx="253">
                  <c:v>1.35626156157063</c:v>
                </c:pt>
                <c:pt idx="254">
                  <c:v>1.387249123605054</c:v>
                </c:pt>
                <c:pt idx="255">
                  <c:v>1.41754575149597</c:v>
                </c:pt>
                <c:pt idx="256">
                  <c:v>1.4472064202835768</c:v>
                </c:pt>
                <c:pt idx="257">
                  <c:v>1.47630247864549</c:v>
                </c:pt>
                <c:pt idx="258">
                  <c:v>1.5048249532475255</c:v>
                </c:pt>
                <c:pt idx="259">
                  <c:v>1.5328192540050556</c:v>
                </c:pt>
                <c:pt idx="260">
                  <c:v>1.560348495368606</c:v>
                </c:pt>
                <c:pt idx="261">
                  <c:v>1.5874299253219757</c:v>
                </c:pt>
                <c:pt idx="262">
                  <c:v>1.6140778937134066</c:v>
                </c:pt>
                <c:pt idx="263">
                  <c:v>1.6403298669492998</c:v>
                </c:pt>
                <c:pt idx="264">
                  <c:v>1.6662130773516908</c:v>
                </c:pt>
                <c:pt idx="265">
                  <c:v>1.6917397310581748</c:v>
                </c:pt>
                <c:pt idx="266">
                  <c:v>1.7169293780309416</c:v>
                </c:pt>
                <c:pt idx="267">
                  <c:v>1.741805090916892</c:v>
                </c:pt>
                <c:pt idx="268">
                  <c:v>1.7663812232610923</c:v>
                </c:pt>
                <c:pt idx="269">
                  <c:v>1.790670083694422</c:v>
                </c:pt>
                <c:pt idx="270">
                  <c:v>1.8146876440213071</c:v>
                </c:pt>
                <c:pt idx="271">
                  <c:v>1.8384476823678004</c:v>
                </c:pt>
                <c:pt idx="272">
                  <c:v>1.8619603597420686</c:v>
                </c:pt>
                <c:pt idx="273">
                  <c:v>1.8852366055262442</c:v>
                </c:pt>
                <c:pt idx="274">
                  <c:v>1.9082876897225827</c:v>
                </c:pt>
                <c:pt idx="275">
                  <c:v>1.9311227110738902</c:v>
                </c:pt>
                <c:pt idx="276">
                  <c:v>1.953749885564568</c:v>
                </c:pt>
                <c:pt idx="277">
                  <c:v>1.976177841827975</c:v>
                </c:pt>
                <c:pt idx="278">
                  <c:v>1.9984144337994725</c:v>
                </c:pt>
                <c:pt idx="279">
                  <c:v>2.020466420564654</c:v>
                </c:pt>
                <c:pt idx="280">
                  <c:v>2.0423404543795023</c:v>
                </c:pt>
                <c:pt idx="281">
                  <c:v>2.0640430151920404</c:v>
                </c:pt>
                <c:pt idx="282">
                  <c:v>2.0855798552626803</c:v>
                </c:pt>
                <c:pt idx="283">
                  <c:v>2.1069563184952456</c:v>
                </c:pt>
                <c:pt idx="284">
                  <c:v>2.1281776564771286</c:v>
                </c:pt>
                <c:pt idx="285">
                  <c:v>2.149248752123817</c:v>
                </c:pt>
                <c:pt idx="286">
                  <c:v>2.170174064082326</c:v>
                </c:pt>
                <c:pt idx="287">
                  <c:v>2.19095788444495</c:v>
                </c:pt>
                <c:pt idx="288">
                  <c:v>2.2116043214455456</c:v>
                </c:pt>
                <c:pt idx="289">
                  <c:v>2.232117170122435</c:v>
                </c:pt>
                <c:pt idx="290">
                  <c:v>2.2525000124912244</c:v>
                </c:pt>
                <c:pt idx="291">
                  <c:v>2.2727563017403245</c:v>
                </c:pt>
                <c:pt idx="292">
                  <c:v>2.292889290429131</c:v>
                </c:pt>
                <c:pt idx="293">
                  <c:v>2.3129020295376295</c:v>
                </c:pt>
                <c:pt idx="294">
                  <c:v>2.332797445945606</c:v>
                </c:pt>
                <c:pt idx="295">
                  <c:v>2.352578335979268</c:v>
                </c:pt>
                <c:pt idx="296">
                  <c:v>2.3722473357917666</c:v>
                </c:pt>
                <c:pt idx="297">
                  <c:v>2.3918069591101814</c:v>
                </c:pt>
                <c:pt idx="298">
                  <c:v>2.411259621864362</c:v>
                </c:pt>
                <c:pt idx="299">
                  <c:v>2.4306076224581012</c:v>
                </c:pt>
                <c:pt idx="300">
                  <c:v>2.44985314878314</c:v>
                </c:pt>
                <c:pt idx="301">
                  <c:v>2.468998304678619</c:v>
                </c:pt>
                <c:pt idx="302">
                  <c:v>2.4880451074524768</c:v>
                </c:pt>
                <c:pt idx="303">
                  <c:v>2.5069954825962095</c:v>
                </c:pt>
                <c:pt idx="304">
                  <c:v>2.5258512799369166</c:v>
                </c:pt>
                <c:pt idx="305">
                  <c:v>2.5446142815661057</c:v>
                </c:pt>
                <c:pt idx="306">
                  <c:v>2.5632861966953393</c:v>
                </c:pt>
                <c:pt idx="307">
                  <c:v>2.5818686676447866</c:v>
                </c:pt>
                <c:pt idx="308">
                  <c:v>2.6003632798982665</c:v>
                </c:pt>
                <c:pt idx="309">
                  <c:v>2.618771561333559</c:v>
                </c:pt>
                <c:pt idx="310">
                  <c:v>2.6370949826934167</c:v>
                </c:pt>
                <c:pt idx="311">
                  <c:v>2.655334965112906</c:v>
                </c:pt>
                <c:pt idx="312">
                  <c:v>2.673492882951546</c:v>
                </c:pt>
                <c:pt idx="313">
                  <c:v>2.6915700629470893</c:v>
                </c:pt>
                <c:pt idx="314">
                  <c:v>2.7095677882378113</c:v>
                </c:pt>
                <c:pt idx="315">
                  <c:v>2.7274873025257587</c:v>
                </c:pt>
                <c:pt idx="316">
                  <c:v>2.745329810044543</c:v>
                </c:pt>
                <c:pt idx="317">
                  <c:v>2.763096477066574</c:v>
                </c:pt>
                <c:pt idx="318">
                  <c:v>2.780788435619569</c:v>
                </c:pt>
                <c:pt idx="319">
                  <c:v>2.7984067846421876</c:v>
                </c:pt>
                <c:pt idx="320">
                  <c:v>2.815952590374554</c:v>
                </c:pt>
                <c:pt idx="321">
                  <c:v>2.833426888886044</c:v>
                </c:pt>
                <c:pt idx="322">
                  <c:v>2.850830687924698</c:v>
                </c:pt>
                <c:pt idx="323">
                  <c:v>2.8681649671872536</c:v>
                </c:pt>
                <c:pt idx="324">
                  <c:v>2.8854306797135654</c:v>
                </c:pt>
                <c:pt idx="325">
                  <c:v>2.9026287537954083</c:v>
                </c:pt>
                <c:pt idx="326">
                  <c:v>2.919760093548601</c:v>
                </c:pt>
                <c:pt idx="327">
                  <c:v>2.936825579585587</c:v>
                </c:pt>
                <c:pt idx="328">
                  <c:v>2.9538260705692925</c:v>
                </c:pt>
                <c:pt idx="329">
                  <c:v>2.9707624040931373</c:v>
                </c:pt>
                <c:pt idx="330">
                  <c:v>2.987635397058831</c:v>
                </c:pt>
                <c:pt idx="331">
                  <c:v>3.0044458467460227</c:v>
                </c:pt>
                <c:pt idx="332">
                  <c:v>3.0211945318204925</c:v>
                </c:pt>
                <c:pt idx="333">
                  <c:v>3.037882212697257</c:v>
                </c:pt>
                <c:pt idx="334">
                  <c:v>3.054509632197285</c:v>
                </c:pt>
                <c:pt idx="335">
                  <c:v>3.071077516493016</c:v>
                </c:pt>
                <c:pt idx="336">
                  <c:v>3.087586575567673</c:v>
                </c:pt>
                <c:pt idx="337">
                  <c:v>3.104037503613452</c:v>
                </c:pt>
                <c:pt idx="338">
                  <c:v>3.1204309797970833</c:v>
                </c:pt>
                <c:pt idx="339">
                  <c:v>3.136767668806258</c:v>
                </c:pt>
                <c:pt idx="340">
                  <c:v>3.1530482211380493</c:v>
                </c:pt>
                <c:pt idx="341">
                  <c:v>3.169273273654305</c:v>
                </c:pt>
                <c:pt idx="342">
                  <c:v>3.18544345015146</c:v>
                </c:pt>
                <c:pt idx="343">
                  <c:v>3.201559361638278</c:v>
                </c:pt>
                <c:pt idx="344">
                  <c:v>3.217621606713627</c:v>
                </c:pt>
                <c:pt idx="345">
                  <c:v>3.2336307720921855</c:v>
                </c:pt>
                <c:pt idx="346">
                  <c:v>3.2495874329137906</c:v>
                </c:pt>
                <c:pt idx="347">
                  <c:v>3.2654921530044128</c:v>
                </c:pt>
                <c:pt idx="348">
                  <c:v>3.281345485313859</c:v>
                </c:pt>
                <c:pt idx="349">
                  <c:v>3.297147972255854</c:v>
                </c:pt>
                <c:pt idx="350">
                  <c:v>3.312900145912987</c:v>
                </c:pt>
              </c:numCache>
            </c:numRef>
          </c:val>
          <c:smooth val="0"/>
        </c:ser>
        <c:ser>
          <c:idx val="1"/>
          <c:order val="1"/>
          <c:tx>
            <c:v>RF CO2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modello!$F$4:$F$354</c:f>
              <c:numCache>
                <c:ptCount val="351"/>
                <c:pt idx="0">
                  <c:v>1750</c:v>
                </c:pt>
                <c:pt idx="1">
                  <c:v>1751</c:v>
                </c:pt>
                <c:pt idx="2">
                  <c:v>1752</c:v>
                </c:pt>
                <c:pt idx="3">
                  <c:v>1753</c:v>
                </c:pt>
                <c:pt idx="4">
                  <c:v>1754</c:v>
                </c:pt>
                <c:pt idx="5">
                  <c:v>1755</c:v>
                </c:pt>
                <c:pt idx="6">
                  <c:v>1756</c:v>
                </c:pt>
                <c:pt idx="7">
                  <c:v>1757</c:v>
                </c:pt>
                <c:pt idx="8">
                  <c:v>1758</c:v>
                </c:pt>
                <c:pt idx="9">
                  <c:v>1759</c:v>
                </c:pt>
                <c:pt idx="10">
                  <c:v>1760</c:v>
                </c:pt>
                <c:pt idx="11">
                  <c:v>1761</c:v>
                </c:pt>
                <c:pt idx="12">
                  <c:v>1762</c:v>
                </c:pt>
                <c:pt idx="13">
                  <c:v>1763</c:v>
                </c:pt>
                <c:pt idx="14">
                  <c:v>1764</c:v>
                </c:pt>
                <c:pt idx="15">
                  <c:v>1765</c:v>
                </c:pt>
                <c:pt idx="16">
                  <c:v>1766</c:v>
                </c:pt>
                <c:pt idx="17">
                  <c:v>1767</c:v>
                </c:pt>
                <c:pt idx="18">
                  <c:v>1768</c:v>
                </c:pt>
                <c:pt idx="19">
                  <c:v>1769</c:v>
                </c:pt>
                <c:pt idx="20">
                  <c:v>1770</c:v>
                </c:pt>
                <c:pt idx="21">
                  <c:v>1771</c:v>
                </c:pt>
                <c:pt idx="22">
                  <c:v>1772</c:v>
                </c:pt>
                <c:pt idx="23">
                  <c:v>1773</c:v>
                </c:pt>
                <c:pt idx="24">
                  <c:v>1774</c:v>
                </c:pt>
                <c:pt idx="25">
                  <c:v>1775</c:v>
                </c:pt>
                <c:pt idx="26">
                  <c:v>1776</c:v>
                </c:pt>
                <c:pt idx="27">
                  <c:v>1777</c:v>
                </c:pt>
                <c:pt idx="28">
                  <c:v>1778</c:v>
                </c:pt>
                <c:pt idx="29">
                  <c:v>1779</c:v>
                </c:pt>
                <c:pt idx="30">
                  <c:v>1780</c:v>
                </c:pt>
                <c:pt idx="31">
                  <c:v>1781</c:v>
                </c:pt>
                <c:pt idx="32">
                  <c:v>1782</c:v>
                </c:pt>
                <c:pt idx="33">
                  <c:v>1783</c:v>
                </c:pt>
                <c:pt idx="34">
                  <c:v>1784</c:v>
                </c:pt>
                <c:pt idx="35">
                  <c:v>1785</c:v>
                </c:pt>
                <c:pt idx="36">
                  <c:v>1786</c:v>
                </c:pt>
                <c:pt idx="37">
                  <c:v>1787</c:v>
                </c:pt>
                <c:pt idx="38">
                  <c:v>1788</c:v>
                </c:pt>
                <c:pt idx="39">
                  <c:v>1789</c:v>
                </c:pt>
                <c:pt idx="40">
                  <c:v>1790</c:v>
                </c:pt>
                <c:pt idx="41">
                  <c:v>1791</c:v>
                </c:pt>
                <c:pt idx="42">
                  <c:v>1792</c:v>
                </c:pt>
                <c:pt idx="43">
                  <c:v>1793</c:v>
                </c:pt>
                <c:pt idx="44">
                  <c:v>1794</c:v>
                </c:pt>
                <c:pt idx="45">
                  <c:v>1795</c:v>
                </c:pt>
                <c:pt idx="46">
                  <c:v>1796</c:v>
                </c:pt>
                <c:pt idx="47">
                  <c:v>1797</c:v>
                </c:pt>
                <c:pt idx="48">
                  <c:v>1798</c:v>
                </c:pt>
                <c:pt idx="49">
                  <c:v>1799</c:v>
                </c:pt>
                <c:pt idx="50">
                  <c:v>1800</c:v>
                </c:pt>
                <c:pt idx="51">
                  <c:v>1801</c:v>
                </c:pt>
                <c:pt idx="52">
                  <c:v>1802</c:v>
                </c:pt>
                <c:pt idx="53">
                  <c:v>1803</c:v>
                </c:pt>
                <c:pt idx="54">
                  <c:v>1804</c:v>
                </c:pt>
                <c:pt idx="55">
                  <c:v>1805</c:v>
                </c:pt>
                <c:pt idx="56">
                  <c:v>1806</c:v>
                </c:pt>
                <c:pt idx="57">
                  <c:v>1807</c:v>
                </c:pt>
                <c:pt idx="58">
                  <c:v>1808</c:v>
                </c:pt>
                <c:pt idx="59">
                  <c:v>1809</c:v>
                </c:pt>
                <c:pt idx="60">
                  <c:v>1810</c:v>
                </c:pt>
                <c:pt idx="61">
                  <c:v>1811</c:v>
                </c:pt>
                <c:pt idx="62">
                  <c:v>1812</c:v>
                </c:pt>
                <c:pt idx="63">
                  <c:v>1813</c:v>
                </c:pt>
                <c:pt idx="64">
                  <c:v>1814</c:v>
                </c:pt>
                <c:pt idx="65">
                  <c:v>1815</c:v>
                </c:pt>
                <c:pt idx="66">
                  <c:v>1816</c:v>
                </c:pt>
                <c:pt idx="67">
                  <c:v>1817</c:v>
                </c:pt>
                <c:pt idx="68">
                  <c:v>1818</c:v>
                </c:pt>
                <c:pt idx="69">
                  <c:v>1819</c:v>
                </c:pt>
                <c:pt idx="70">
                  <c:v>1820</c:v>
                </c:pt>
                <c:pt idx="71">
                  <c:v>1821</c:v>
                </c:pt>
                <c:pt idx="72">
                  <c:v>1822</c:v>
                </c:pt>
                <c:pt idx="73">
                  <c:v>1823</c:v>
                </c:pt>
                <c:pt idx="74">
                  <c:v>1824</c:v>
                </c:pt>
                <c:pt idx="75">
                  <c:v>1825</c:v>
                </c:pt>
                <c:pt idx="76">
                  <c:v>1826</c:v>
                </c:pt>
                <c:pt idx="77">
                  <c:v>1827</c:v>
                </c:pt>
                <c:pt idx="78">
                  <c:v>1828</c:v>
                </c:pt>
                <c:pt idx="79">
                  <c:v>1829</c:v>
                </c:pt>
                <c:pt idx="80">
                  <c:v>1830</c:v>
                </c:pt>
                <c:pt idx="81">
                  <c:v>1831</c:v>
                </c:pt>
                <c:pt idx="82">
                  <c:v>1832</c:v>
                </c:pt>
                <c:pt idx="83">
                  <c:v>1833</c:v>
                </c:pt>
                <c:pt idx="84">
                  <c:v>1834</c:v>
                </c:pt>
                <c:pt idx="85">
                  <c:v>1835</c:v>
                </c:pt>
                <c:pt idx="86">
                  <c:v>1836</c:v>
                </c:pt>
                <c:pt idx="87">
                  <c:v>1837</c:v>
                </c:pt>
                <c:pt idx="88">
                  <c:v>1838</c:v>
                </c:pt>
                <c:pt idx="89">
                  <c:v>1839</c:v>
                </c:pt>
                <c:pt idx="90">
                  <c:v>1840</c:v>
                </c:pt>
                <c:pt idx="91">
                  <c:v>1841</c:v>
                </c:pt>
                <c:pt idx="92">
                  <c:v>1842</c:v>
                </c:pt>
                <c:pt idx="93">
                  <c:v>1843</c:v>
                </c:pt>
                <c:pt idx="94">
                  <c:v>1844</c:v>
                </c:pt>
                <c:pt idx="95">
                  <c:v>1845</c:v>
                </c:pt>
                <c:pt idx="96">
                  <c:v>1846</c:v>
                </c:pt>
                <c:pt idx="97">
                  <c:v>1847</c:v>
                </c:pt>
                <c:pt idx="98">
                  <c:v>1848</c:v>
                </c:pt>
                <c:pt idx="99">
                  <c:v>1849</c:v>
                </c:pt>
                <c:pt idx="100">
                  <c:v>1850</c:v>
                </c:pt>
                <c:pt idx="101">
                  <c:v>1851</c:v>
                </c:pt>
                <c:pt idx="102">
                  <c:v>1852</c:v>
                </c:pt>
                <c:pt idx="103">
                  <c:v>1853</c:v>
                </c:pt>
                <c:pt idx="104">
                  <c:v>1854</c:v>
                </c:pt>
                <c:pt idx="105">
                  <c:v>1855</c:v>
                </c:pt>
                <c:pt idx="106">
                  <c:v>1856</c:v>
                </c:pt>
                <c:pt idx="107">
                  <c:v>1857</c:v>
                </c:pt>
                <c:pt idx="108">
                  <c:v>1858</c:v>
                </c:pt>
                <c:pt idx="109">
                  <c:v>1859</c:v>
                </c:pt>
                <c:pt idx="110">
                  <c:v>1860</c:v>
                </c:pt>
                <c:pt idx="111">
                  <c:v>1861</c:v>
                </c:pt>
                <c:pt idx="112">
                  <c:v>1862</c:v>
                </c:pt>
                <c:pt idx="113">
                  <c:v>1863</c:v>
                </c:pt>
                <c:pt idx="114">
                  <c:v>1864</c:v>
                </c:pt>
                <c:pt idx="115">
                  <c:v>1865</c:v>
                </c:pt>
                <c:pt idx="116">
                  <c:v>1866</c:v>
                </c:pt>
                <c:pt idx="117">
                  <c:v>1867</c:v>
                </c:pt>
                <c:pt idx="118">
                  <c:v>1868</c:v>
                </c:pt>
                <c:pt idx="119">
                  <c:v>1869</c:v>
                </c:pt>
                <c:pt idx="120">
                  <c:v>1870</c:v>
                </c:pt>
                <c:pt idx="121">
                  <c:v>1871</c:v>
                </c:pt>
                <c:pt idx="122">
                  <c:v>1872</c:v>
                </c:pt>
                <c:pt idx="123">
                  <c:v>1873</c:v>
                </c:pt>
                <c:pt idx="124">
                  <c:v>1874</c:v>
                </c:pt>
                <c:pt idx="125">
                  <c:v>1875</c:v>
                </c:pt>
                <c:pt idx="126">
                  <c:v>1876</c:v>
                </c:pt>
                <c:pt idx="127">
                  <c:v>1877</c:v>
                </c:pt>
                <c:pt idx="128">
                  <c:v>1878</c:v>
                </c:pt>
                <c:pt idx="129">
                  <c:v>1879</c:v>
                </c:pt>
                <c:pt idx="130">
                  <c:v>1880</c:v>
                </c:pt>
                <c:pt idx="131">
                  <c:v>1881</c:v>
                </c:pt>
                <c:pt idx="132">
                  <c:v>1882</c:v>
                </c:pt>
                <c:pt idx="133">
                  <c:v>1883</c:v>
                </c:pt>
                <c:pt idx="134">
                  <c:v>1884</c:v>
                </c:pt>
                <c:pt idx="135">
                  <c:v>1885</c:v>
                </c:pt>
                <c:pt idx="136">
                  <c:v>1886</c:v>
                </c:pt>
                <c:pt idx="137">
                  <c:v>1887</c:v>
                </c:pt>
                <c:pt idx="138">
                  <c:v>1888</c:v>
                </c:pt>
                <c:pt idx="139">
                  <c:v>1889</c:v>
                </c:pt>
                <c:pt idx="140">
                  <c:v>1890</c:v>
                </c:pt>
                <c:pt idx="141">
                  <c:v>1891</c:v>
                </c:pt>
                <c:pt idx="142">
                  <c:v>1892</c:v>
                </c:pt>
                <c:pt idx="143">
                  <c:v>1893</c:v>
                </c:pt>
                <c:pt idx="144">
                  <c:v>1894</c:v>
                </c:pt>
                <c:pt idx="145">
                  <c:v>1895</c:v>
                </c:pt>
                <c:pt idx="146">
                  <c:v>1896</c:v>
                </c:pt>
                <c:pt idx="147">
                  <c:v>1897</c:v>
                </c:pt>
                <c:pt idx="148">
                  <c:v>1898</c:v>
                </c:pt>
                <c:pt idx="149">
                  <c:v>1899</c:v>
                </c:pt>
                <c:pt idx="150">
                  <c:v>1900</c:v>
                </c:pt>
                <c:pt idx="151">
                  <c:v>1901</c:v>
                </c:pt>
                <c:pt idx="152">
                  <c:v>1902</c:v>
                </c:pt>
                <c:pt idx="153">
                  <c:v>1903</c:v>
                </c:pt>
                <c:pt idx="154">
                  <c:v>1904</c:v>
                </c:pt>
                <c:pt idx="155">
                  <c:v>1905</c:v>
                </c:pt>
                <c:pt idx="156">
                  <c:v>1906</c:v>
                </c:pt>
                <c:pt idx="157">
                  <c:v>1907</c:v>
                </c:pt>
                <c:pt idx="158">
                  <c:v>1908</c:v>
                </c:pt>
                <c:pt idx="159">
                  <c:v>1909</c:v>
                </c:pt>
                <c:pt idx="160">
                  <c:v>1910</c:v>
                </c:pt>
                <c:pt idx="161">
                  <c:v>1911</c:v>
                </c:pt>
                <c:pt idx="162">
                  <c:v>1912</c:v>
                </c:pt>
                <c:pt idx="163">
                  <c:v>1913</c:v>
                </c:pt>
                <c:pt idx="164">
                  <c:v>1914</c:v>
                </c:pt>
                <c:pt idx="165">
                  <c:v>1915</c:v>
                </c:pt>
                <c:pt idx="166">
                  <c:v>1916</c:v>
                </c:pt>
                <c:pt idx="167">
                  <c:v>1917</c:v>
                </c:pt>
                <c:pt idx="168">
                  <c:v>1918</c:v>
                </c:pt>
                <c:pt idx="169">
                  <c:v>1919</c:v>
                </c:pt>
                <c:pt idx="170">
                  <c:v>1920</c:v>
                </c:pt>
                <c:pt idx="171">
                  <c:v>1921</c:v>
                </c:pt>
                <c:pt idx="172">
                  <c:v>1922</c:v>
                </c:pt>
                <c:pt idx="173">
                  <c:v>1923</c:v>
                </c:pt>
                <c:pt idx="174">
                  <c:v>1924</c:v>
                </c:pt>
                <c:pt idx="175">
                  <c:v>1925</c:v>
                </c:pt>
                <c:pt idx="176">
                  <c:v>1926</c:v>
                </c:pt>
                <c:pt idx="177">
                  <c:v>1927</c:v>
                </c:pt>
                <c:pt idx="178">
                  <c:v>1928</c:v>
                </c:pt>
                <c:pt idx="179">
                  <c:v>1929</c:v>
                </c:pt>
                <c:pt idx="180">
                  <c:v>1930</c:v>
                </c:pt>
                <c:pt idx="181">
                  <c:v>1931</c:v>
                </c:pt>
                <c:pt idx="182">
                  <c:v>1932</c:v>
                </c:pt>
                <c:pt idx="183">
                  <c:v>1933</c:v>
                </c:pt>
                <c:pt idx="184">
                  <c:v>1934</c:v>
                </c:pt>
                <c:pt idx="185">
                  <c:v>1935</c:v>
                </c:pt>
                <c:pt idx="186">
                  <c:v>1936</c:v>
                </c:pt>
                <c:pt idx="187">
                  <c:v>1937</c:v>
                </c:pt>
                <c:pt idx="188">
                  <c:v>1938</c:v>
                </c:pt>
                <c:pt idx="189">
                  <c:v>1939</c:v>
                </c:pt>
                <c:pt idx="190">
                  <c:v>1940</c:v>
                </c:pt>
                <c:pt idx="191">
                  <c:v>1941</c:v>
                </c:pt>
                <c:pt idx="192">
                  <c:v>1942</c:v>
                </c:pt>
                <c:pt idx="193">
                  <c:v>1943</c:v>
                </c:pt>
                <c:pt idx="194">
                  <c:v>1944</c:v>
                </c:pt>
                <c:pt idx="195">
                  <c:v>1945</c:v>
                </c:pt>
                <c:pt idx="196">
                  <c:v>1946</c:v>
                </c:pt>
                <c:pt idx="197">
                  <c:v>1947</c:v>
                </c:pt>
                <c:pt idx="198">
                  <c:v>1948</c:v>
                </c:pt>
                <c:pt idx="199">
                  <c:v>1949</c:v>
                </c:pt>
                <c:pt idx="200">
                  <c:v>1950</c:v>
                </c:pt>
                <c:pt idx="201">
                  <c:v>1951</c:v>
                </c:pt>
                <c:pt idx="202">
                  <c:v>1952</c:v>
                </c:pt>
                <c:pt idx="203">
                  <c:v>1953</c:v>
                </c:pt>
                <c:pt idx="204">
                  <c:v>1954</c:v>
                </c:pt>
                <c:pt idx="205">
                  <c:v>1955</c:v>
                </c:pt>
                <c:pt idx="206">
                  <c:v>1956</c:v>
                </c:pt>
                <c:pt idx="207">
                  <c:v>1957</c:v>
                </c:pt>
                <c:pt idx="208">
                  <c:v>1958</c:v>
                </c:pt>
                <c:pt idx="209">
                  <c:v>1959</c:v>
                </c:pt>
                <c:pt idx="210">
                  <c:v>1960</c:v>
                </c:pt>
                <c:pt idx="211">
                  <c:v>1961</c:v>
                </c:pt>
                <c:pt idx="212">
                  <c:v>1962</c:v>
                </c:pt>
                <c:pt idx="213">
                  <c:v>1963</c:v>
                </c:pt>
                <c:pt idx="214">
                  <c:v>1964</c:v>
                </c:pt>
                <c:pt idx="215">
                  <c:v>1965</c:v>
                </c:pt>
                <c:pt idx="216">
                  <c:v>1966</c:v>
                </c:pt>
                <c:pt idx="217">
                  <c:v>1967</c:v>
                </c:pt>
                <c:pt idx="218">
                  <c:v>1968</c:v>
                </c:pt>
                <c:pt idx="219">
                  <c:v>1969</c:v>
                </c:pt>
                <c:pt idx="220">
                  <c:v>1970</c:v>
                </c:pt>
                <c:pt idx="221">
                  <c:v>1971</c:v>
                </c:pt>
                <c:pt idx="222">
                  <c:v>1972</c:v>
                </c:pt>
                <c:pt idx="223">
                  <c:v>1973</c:v>
                </c:pt>
                <c:pt idx="224">
                  <c:v>1974</c:v>
                </c:pt>
                <c:pt idx="225">
                  <c:v>1975</c:v>
                </c:pt>
                <c:pt idx="226">
                  <c:v>1976</c:v>
                </c:pt>
                <c:pt idx="227">
                  <c:v>1977</c:v>
                </c:pt>
                <c:pt idx="228">
                  <c:v>1978</c:v>
                </c:pt>
                <c:pt idx="229">
                  <c:v>1979</c:v>
                </c:pt>
                <c:pt idx="230">
                  <c:v>1980</c:v>
                </c:pt>
                <c:pt idx="231">
                  <c:v>1981</c:v>
                </c:pt>
                <c:pt idx="232">
                  <c:v>1982</c:v>
                </c:pt>
                <c:pt idx="233">
                  <c:v>1983</c:v>
                </c:pt>
                <c:pt idx="234">
                  <c:v>1984</c:v>
                </c:pt>
                <c:pt idx="235">
                  <c:v>1985</c:v>
                </c:pt>
                <c:pt idx="236">
                  <c:v>1986</c:v>
                </c:pt>
                <c:pt idx="237">
                  <c:v>1987</c:v>
                </c:pt>
                <c:pt idx="238">
                  <c:v>1988</c:v>
                </c:pt>
                <c:pt idx="239">
                  <c:v>1989</c:v>
                </c:pt>
                <c:pt idx="240">
                  <c:v>1990</c:v>
                </c:pt>
                <c:pt idx="241">
                  <c:v>1991</c:v>
                </c:pt>
                <c:pt idx="242">
                  <c:v>1992</c:v>
                </c:pt>
                <c:pt idx="243">
                  <c:v>1993</c:v>
                </c:pt>
                <c:pt idx="244">
                  <c:v>1994</c:v>
                </c:pt>
                <c:pt idx="245">
                  <c:v>1995</c:v>
                </c:pt>
                <c:pt idx="246">
                  <c:v>1996</c:v>
                </c:pt>
                <c:pt idx="247">
                  <c:v>1997</c:v>
                </c:pt>
                <c:pt idx="248">
                  <c:v>1998</c:v>
                </c:pt>
                <c:pt idx="249">
                  <c:v>1999</c:v>
                </c:pt>
                <c:pt idx="250">
                  <c:v>2000</c:v>
                </c:pt>
                <c:pt idx="251">
                  <c:v>2001</c:v>
                </c:pt>
                <c:pt idx="252">
                  <c:v>2002</c:v>
                </c:pt>
                <c:pt idx="253">
                  <c:v>2003</c:v>
                </c:pt>
                <c:pt idx="254">
                  <c:v>2004</c:v>
                </c:pt>
                <c:pt idx="255">
                  <c:v>2005</c:v>
                </c:pt>
                <c:pt idx="256">
                  <c:v>2006</c:v>
                </c:pt>
                <c:pt idx="257">
                  <c:v>2007</c:v>
                </c:pt>
                <c:pt idx="258">
                  <c:v>2008</c:v>
                </c:pt>
                <c:pt idx="259">
                  <c:v>2009</c:v>
                </c:pt>
                <c:pt idx="260">
                  <c:v>2010</c:v>
                </c:pt>
                <c:pt idx="261">
                  <c:v>2011</c:v>
                </c:pt>
                <c:pt idx="262">
                  <c:v>2012</c:v>
                </c:pt>
                <c:pt idx="263">
                  <c:v>2013</c:v>
                </c:pt>
                <c:pt idx="264">
                  <c:v>2014</c:v>
                </c:pt>
                <c:pt idx="265">
                  <c:v>2015</c:v>
                </c:pt>
                <c:pt idx="266">
                  <c:v>2016</c:v>
                </c:pt>
                <c:pt idx="267">
                  <c:v>2017</c:v>
                </c:pt>
                <c:pt idx="268">
                  <c:v>2018</c:v>
                </c:pt>
                <c:pt idx="269">
                  <c:v>2019</c:v>
                </c:pt>
                <c:pt idx="270">
                  <c:v>2020</c:v>
                </c:pt>
                <c:pt idx="271">
                  <c:v>2021</c:v>
                </c:pt>
                <c:pt idx="272">
                  <c:v>2022</c:v>
                </c:pt>
                <c:pt idx="273">
                  <c:v>2023</c:v>
                </c:pt>
                <c:pt idx="274">
                  <c:v>2024</c:v>
                </c:pt>
                <c:pt idx="275">
                  <c:v>2025</c:v>
                </c:pt>
                <c:pt idx="276">
                  <c:v>2026</c:v>
                </c:pt>
                <c:pt idx="277">
                  <c:v>2027</c:v>
                </c:pt>
                <c:pt idx="278">
                  <c:v>2028</c:v>
                </c:pt>
                <c:pt idx="279">
                  <c:v>2029</c:v>
                </c:pt>
                <c:pt idx="280">
                  <c:v>2030</c:v>
                </c:pt>
                <c:pt idx="281">
                  <c:v>2031</c:v>
                </c:pt>
                <c:pt idx="282">
                  <c:v>2032</c:v>
                </c:pt>
                <c:pt idx="283">
                  <c:v>2033</c:v>
                </c:pt>
                <c:pt idx="284">
                  <c:v>2034</c:v>
                </c:pt>
                <c:pt idx="285">
                  <c:v>2035</c:v>
                </c:pt>
                <c:pt idx="286">
                  <c:v>2036</c:v>
                </c:pt>
                <c:pt idx="287">
                  <c:v>2037</c:v>
                </c:pt>
                <c:pt idx="288">
                  <c:v>2038</c:v>
                </c:pt>
                <c:pt idx="289">
                  <c:v>2039</c:v>
                </c:pt>
                <c:pt idx="290">
                  <c:v>2040</c:v>
                </c:pt>
                <c:pt idx="291">
                  <c:v>2041</c:v>
                </c:pt>
                <c:pt idx="292">
                  <c:v>2042</c:v>
                </c:pt>
                <c:pt idx="293">
                  <c:v>2043</c:v>
                </c:pt>
                <c:pt idx="294">
                  <c:v>2044</c:v>
                </c:pt>
                <c:pt idx="295">
                  <c:v>2045</c:v>
                </c:pt>
                <c:pt idx="296">
                  <c:v>2046</c:v>
                </c:pt>
                <c:pt idx="297">
                  <c:v>2047</c:v>
                </c:pt>
                <c:pt idx="298">
                  <c:v>2048</c:v>
                </c:pt>
                <c:pt idx="299">
                  <c:v>2049</c:v>
                </c:pt>
                <c:pt idx="300">
                  <c:v>2050</c:v>
                </c:pt>
                <c:pt idx="301">
                  <c:v>2051</c:v>
                </c:pt>
                <c:pt idx="302">
                  <c:v>2052</c:v>
                </c:pt>
                <c:pt idx="303">
                  <c:v>2053</c:v>
                </c:pt>
                <c:pt idx="304">
                  <c:v>2054</c:v>
                </c:pt>
                <c:pt idx="305">
                  <c:v>2055</c:v>
                </c:pt>
                <c:pt idx="306">
                  <c:v>2056</c:v>
                </c:pt>
                <c:pt idx="307">
                  <c:v>2057</c:v>
                </c:pt>
                <c:pt idx="308">
                  <c:v>2058</c:v>
                </c:pt>
                <c:pt idx="309">
                  <c:v>2059</c:v>
                </c:pt>
                <c:pt idx="310">
                  <c:v>2060</c:v>
                </c:pt>
                <c:pt idx="311">
                  <c:v>2061</c:v>
                </c:pt>
                <c:pt idx="312">
                  <c:v>2062</c:v>
                </c:pt>
                <c:pt idx="313">
                  <c:v>2063</c:v>
                </c:pt>
                <c:pt idx="314">
                  <c:v>2064</c:v>
                </c:pt>
                <c:pt idx="315">
                  <c:v>2065</c:v>
                </c:pt>
                <c:pt idx="316">
                  <c:v>2066</c:v>
                </c:pt>
                <c:pt idx="317">
                  <c:v>2067</c:v>
                </c:pt>
                <c:pt idx="318">
                  <c:v>2068</c:v>
                </c:pt>
                <c:pt idx="319">
                  <c:v>2069</c:v>
                </c:pt>
                <c:pt idx="320">
                  <c:v>2070</c:v>
                </c:pt>
                <c:pt idx="321">
                  <c:v>2071</c:v>
                </c:pt>
                <c:pt idx="322">
                  <c:v>2072</c:v>
                </c:pt>
                <c:pt idx="323">
                  <c:v>2073</c:v>
                </c:pt>
                <c:pt idx="324">
                  <c:v>2074</c:v>
                </c:pt>
                <c:pt idx="325">
                  <c:v>2075</c:v>
                </c:pt>
                <c:pt idx="326">
                  <c:v>2076</c:v>
                </c:pt>
                <c:pt idx="327">
                  <c:v>2077</c:v>
                </c:pt>
                <c:pt idx="328">
                  <c:v>2078</c:v>
                </c:pt>
                <c:pt idx="329">
                  <c:v>2079</c:v>
                </c:pt>
                <c:pt idx="330">
                  <c:v>2080</c:v>
                </c:pt>
                <c:pt idx="331">
                  <c:v>2081</c:v>
                </c:pt>
                <c:pt idx="332">
                  <c:v>2082</c:v>
                </c:pt>
                <c:pt idx="333">
                  <c:v>2083</c:v>
                </c:pt>
                <c:pt idx="334">
                  <c:v>2084</c:v>
                </c:pt>
                <c:pt idx="335">
                  <c:v>2085</c:v>
                </c:pt>
                <c:pt idx="336">
                  <c:v>2086</c:v>
                </c:pt>
                <c:pt idx="337">
                  <c:v>2087</c:v>
                </c:pt>
                <c:pt idx="338">
                  <c:v>2088</c:v>
                </c:pt>
                <c:pt idx="339">
                  <c:v>2089</c:v>
                </c:pt>
                <c:pt idx="340">
                  <c:v>2090</c:v>
                </c:pt>
                <c:pt idx="341">
                  <c:v>2091</c:v>
                </c:pt>
                <c:pt idx="342">
                  <c:v>2092</c:v>
                </c:pt>
                <c:pt idx="343">
                  <c:v>2093</c:v>
                </c:pt>
                <c:pt idx="344">
                  <c:v>2094</c:v>
                </c:pt>
                <c:pt idx="345">
                  <c:v>2095</c:v>
                </c:pt>
                <c:pt idx="346">
                  <c:v>2096</c:v>
                </c:pt>
                <c:pt idx="347">
                  <c:v>2097</c:v>
                </c:pt>
                <c:pt idx="348">
                  <c:v>2098</c:v>
                </c:pt>
                <c:pt idx="349">
                  <c:v>2099</c:v>
                </c:pt>
                <c:pt idx="350">
                  <c:v>2100</c:v>
                </c:pt>
              </c:numCache>
            </c:numRef>
          </c:cat>
          <c:val>
            <c:numRef>
              <c:f>modello!$X$4:$X$354</c:f>
              <c:numCache>
                <c:ptCount val="351"/>
                <c:pt idx="0">
                  <c:v>0</c:v>
                </c:pt>
                <c:pt idx="1">
                  <c:v>0</c:v>
                </c:pt>
                <c:pt idx="2">
                  <c:v>1.528569244929103E-05</c:v>
                </c:pt>
                <c:pt idx="3">
                  <c:v>4.3726994913030224E-05</c:v>
                </c:pt>
                <c:pt idx="4">
                  <c:v>5.944601163208961E-05</c:v>
                </c:pt>
                <c:pt idx="5">
                  <c:v>6.737063999381921E-05</c:v>
                </c:pt>
                <c:pt idx="6">
                  <c:v>5.8088865039747505E-05</c:v>
                </c:pt>
                <c:pt idx="7">
                  <c:v>3.60710062110495E-05</c:v>
                </c:pt>
                <c:pt idx="8">
                  <c:v>-1.262200019608704E-06</c:v>
                </c:pt>
                <c:pt idx="9">
                  <c:v>-5.0062695971297604E-05</c:v>
                </c:pt>
                <c:pt idx="10">
                  <c:v>-0.00010993237771163384</c:v>
                </c:pt>
                <c:pt idx="11">
                  <c:v>-0.000177546800488005</c:v>
                </c:pt>
                <c:pt idx="12">
                  <c:v>-0.00025133091515039245</c:v>
                </c:pt>
                <c:pt idx="13">
                  <c:v>-0.00032844476304849885</c:v>
                </c:pt>
                <c:pt idx="14">
                  <c:v>-0.0004069943256171395</c:v>
                </c:pt>
                <c:pt idx="15">
                  <c:v>-0.00048460296037907986</c:v>
                </c:pt>
                <c:pt idx="16">
                  <c:v>-0.000559452472307426</c:v>
                </c:pt>
                <c:pt idx="17">
                  <c:v>-0.0006296018406066558</c:v>
                </c:pt>
                <c:pt idx="18">
                  <c:v>-0.000693473179195298</c:v>
                </c:pt>
                <c:pt idx="19">
                  <c:v>-0.000749522783071527</c:v>
                </c:pt>
                <c:pt idx="20">
                  <c:v>-0.0007964640072307035</c:v>
                </c:pt>
                <c:pt idx="21">
                  <c:v>-0.0008331047930330598</c:v>
                </c:pt>
                <c:pt idx="22">
                  <c:v>-0.0008584463057505189</c:v>
                </c:pt>
                <c:pt idx="23">
                  <c:v>-0.0008715995799494968</c:v>
                </c:pt>
                <c:pt idx="24">
                  <c:v>-0.0008718259516834309</c:v>
                </c:pt>
                <c:pt idx="25">
                  <c:v>-0.0008584917691748566</c:v>
                </c:pt>
                <c:pt idx="26">
                  <c:v>-0.0008310820157693107</c:v>
                </c:pt>
                <c:pt idx="27">
                  <c:v>-0.0007891737713622336</c:v>
                </c:pt>
                <c:pt idx="28">
                  <c:v>-0.0007324379185349948</c:v>
                </c:pt>
                <c:pt idx="29">
                  <c:v>-0.0006606222274017103</c:v>
                </c:pt>
                <c:pt idx="30">
                  <c:v>-0.0005735481637345166</c:v>
                </c:pt>
                <c:pt idx="31">
                  <c:v>-0.0004710992361098891</c:v>
                </c:pt>
                <c:pt idx="32">
                  <c:v>-0.00035321616518297987</c:v>
                </c:pt>
                <c:pt idx="33">
                  <c:v>-0.00021988836064335096</c:v>
                </c:pt>
                <c:pt idx="34">
                  <c:v>-7.114891667728091E-05</c:v>
                </c:pt>
                <c:pt idx="35">
                  <c:v>9.293186938867539E-05</c:v>
                </c:pt>
                <c:pt idx="36">
                  <c:v>0.00027225106308348564</c:v>
                </c:pt>
                <c:pt idx="37">
                  <c:v>0.0004666781270243548</c:v>
                </c:pt>
                <c:pt idx="38">
                  <c:v>0.0006760588366718666</c:v>
                </c:pt>
                <c:pt idx="39">
                  <c:v>0.000900219223839005</c:v>
                </c:pt>
                <c:pt idx="40">
                  <c:v>0.00113896881377699</c:v>
                </c:pt>
                <c:pt idx="41">
                  <c:v>0.0013921037144765639</c:v>
                </c:pt>
                <c:pt idx="42">
                  <c:v>0.0016594092254717092</c:v>
                </c:pt>
                <c:pt idx="43">
                  <c:v>0.0019406622445509991</c:v>
                </c:pt>
                <c:pt idx="44">
                  <c:v>0.002235633327656513</c:v>
                </c:pt>
                <c:pt idx="45">
                  <c:v>0.0025440885456833612</c:v>
                </c:pt>
                <c:pt idx="46">
                  <c:v>0.0028657910805187283</c:v>
                </c:pt>
                <c:pt idx="47">
                  <c:v>0.0032005026384011024</c:v>
                </c:pt>
                <c:pt idx="48">
                  <c:v>0.0035479846624051257</c:v>
                </c:pt>
                <c:pt idx="49">
                  <c:v>0.003907999389398626</c:v>
                </c:pt>
                <c:pt idx="50">
                  <c:v>0.00428031075039238</c:v>
                </c:pt>
                <c:pt idx="51">
                  <c:v>0.004664685142683839</c:v>
                </c:pt>
                <c:pt idx="52">
                  <c:v>0.005064709893501435</c:v>
                </c:pt>
                <c:pt idx="53">
                  <c:v>0.0054796254543176635</c:v>
                </c:pt>
                <c:pt idx="54">
                  <c:v>0.0059091349534217035</c:v>
                </c:pt>
                <c:pt idx="55">
                  <c:v>0.006352731068236903</c:v>
                </c:pt>
                <c:pt idx="56">
                  <c:v>0.006810126661394986</c:v>
                </c:pt>
                <c:pt idx="57">
                  <c:v>0.0072809400451437686</c:v>
                </c:pt>
                <c:pt idx="58">
                  <c:v>0.007764900212756844</c:v>
                </c:pt>
                <c:pt idx="59">
                  <c:v>0.00826169702467058</c:v>
                </c:pt>
                <c:pt idx="60">
                  <c:v>0.00877107825876974</c:v>
                </c:pt>
                <c:pt idx="61">
                  <c:v>0.009292778009387489</c:v>
                </c:pt>
                <c:pt idx="62">
                  <c:v>0.009826562497612904</c:v>
                </c:pt>
                <c:pt idx="63">
                  <c:v>0.01037219576998372</c:v>
                </c:pt>
                <c:pt idx="64">
                  <c:v>0.010929461271008956</c:v>
                </c:pt>
                <c:pt idx="65">
                  <c:v>0.011498145340744982</c:v>
                </c:pt>
                <c:pt idx="66">
                  <c:v>0.01207804731240372</c:v>
                </c:pt>
                <c:pt idx="67">
                  <c:v>0.012668971503394584</c:v>
                </c:pt>
                <c:pt idx="68">
                  <c:v>0.013270731876420278</c:v>
                </c:pt>
                <c:pt idx="69">
                  <c:v>0.01388314808622755</c:v>
                </c:pt>
                <c:pt idx="70">
                  <c:v>0.01450604756601718</c:v>
                </c:pt>
                <c:pt idx="71">
                  <c:v>0.015139263515047649</c:v>
                </c:pt>
                <c:pt idx="72">
                  <c:v>0.015782635768911958</c:v>
                </c:pt>
                <c:pt idx="73">
                  <c:v>0.016436009720582324</c:v>
                </c:pt>
                <c:pt idx="74">
                  <c:v>0.017099236620297265</c:v>
                </c:pt>
                <c:pt idx="75">
                  <c:v>0.017772172950115833</c:v>
                </c:pt>
                <c:pt idx="76">
                  <c:v>0.01845468046054142</c:v>
                </c:pt>
                <c:pt idx="77">
                  <c:v>0.01914662576972126</c:v>
                </c:pt>
                <c:pt idx="78">
                  <c:v>0.019847880282786192</c:v>
                </c:pt>
                <c:pt idx="79">
                  <c:v>0.020558319906283665</c:v>
                </c:pt>
                <c:pt idx="80">
                  <c:v>0.021277824919410326</c:v>
                </c:pt>
                <c:pt idx="81">
                  <c:v>0.022006279751090128</c:v>
                </c:pt>
                <c:pt idx="82">
                  <c:v>0.022743572835631314</c:v>
                </c:pt>
                <c:pt idx="83">
                  <c:v>0.023489596426883332</c:v>
                </c:pt>
                <c:pt idx="84">
                  <c:v>0.02424424645336038</c:v>
                </c:pt>
                <c:pt idx="85">
                  <c:v>0.02500742235677954</c:v>
                </c:pt>
                <c:pt idx="86">
                  <c:v>0.025779026953341985</c:v>
                </c:pt>
                <c:pt idx="87">
                  <c:v>0.026558966290100558</c:v>
                </c:pt>
                <c:pt idx="88">
                  <c:v>0.02734714951510511</c:v>
                </c:pt>
                <c:pt idx="89">
                  <c:v>0.028143488747991816</c:v>
                </c:pt>
                <c:pt idx="90">
                  <c:v>0.02894789895982324</c:v>
                </c:pt>
                <c:pt idx="91">
                  <c:v>0.029760297855707257</c:v>
                </c:pt>
                <c:pt idx="92">
                  <c:v>0.030580605764297032</c:v>
                </c:pt>
                <c:pt idx="93">
                  <c:v>0.0314087455309575</c:v>
                </c:pt>
                <c:pt idx="94">
                  <c:v>0.032244642416478946</c:v>
                </c:pt>
                <c:pt idx="95">
                  <c:v>0.033088223999682004</c:v>
                </c:pt>
                <c:pt idx="96">
                  <c:v>0.03393942008474045</c:v>
                </c:pt>
                <c:pt idx="97">
                  <c:v>0.03479816261231502</c:v>
                </c:pt>
                <c:pt idx="98">
                  <c:v>0.03566438557482253</c:v>
                </c:pt>
                <c:pt idx="99">
                  <c:v>0.036538024935324515</c:v>
                </c:pt>
                <c:pt idx="100">
                  <c:v>0.037419018550087675</c:v>
                </c:pt>
                <c:pt idx="101">
                  <c:v>0.038307306094512106</c:v>
                </c:pt>
                <c:pt idx="102">
                  <c:v>0.03929007944548982</c:v>
                </c:pt>
                <c:pt idx="103">
                  <c:v>0.04035509647003954</c:v>
                </c:pt>
                <c:pt idx="104">
                  <c:v>0.041494772942053164</c:v>
                </c:pt>
                <c:pt idx="105">
                  <c:v>0.042703176097059405</c:v>
                </c:pt>
                <c:pt idx="106">
                  <c:v>0.04397596064732827</c:v>
                </c:pt>
                <c:pt idx="107">
                  <c:v>0.045309520461158666</c:v>
                </c:pt>
                <c:pt idx="108">
                  <c:v>0.04670106368256084</c:v>
                </c:pt>
                <c:pt idx="109">
                  <c:v>0.04814822343529541</c:v>
                </c:pt>
                <c:pt idx="110">
                  <c:v>0.04964909054957929</c:v>
                </c:pt>
                <c:pt idx="111">
                  <c:v>0.051202017032228514</c:v>
                </c:pt>
                <c:pt idx="112">
                  <c:v>0.052805624041402856</c:v>
                </c:pt>
                <c:pt idx="113">
                  <c:v>0.05445870019051241</c:v>
                </c:pt>
                <c:pt idx="114">
                  <c:v>0.05616020009818209</c:v>
                </c:pt>
                <c:pt idx="115">
                  <c:v>0.05790919070837202</c:v>
                </c:pt>
                <c:pt idx="116">
                  <c:v>0.059704846912049823</c:v>
                </c:pt>
                <c:pt idx="117">
                  <c:v>0.06154642233898109</c:v>
                </c:pt>
                <c:pt idx="118">
                  <c:v>0.06343324449883389</c:v>
                </c:pt>
                <c:pt idx="119">
                  <c:v>0.06536469818446168</c:v>
                </c:pt>
                <c:pt idx="120">
                  <c:v>0.06734022099689564</c:v>
                </c:pt>
                <c:pt idx="121">
                  <c:v>0.06935929339638454</c:v>
                </c:pt>
                <c:pt idx="122">
                  <c:v>0.07142143486975543</c:v>
                </c:pt>
                <c:pt idx="123">
                  <c:v>0.0735261976150332</c:v>
                </c:pt>
                <c:pt idx="124">
                  <c:v>0.07567316337708792</c:v>
                </c:pt>
                <c:pt idx="125">
                  <c:v>0.07786193921837346</c:v>
                </c:pt>
                <c:pt idx="126">
                  <c:v>0.08009215496219757</c:v>
                </c:pt>
                <c:pt idx="127">
                  <c:v>0.08236346023215067</c:v>
                </c:pt>
                <c:pt idx="128">
                  <c:v>0.08467552241521673</c:v>
                </c:pt>
                <c:pt idx="129">
                  <c:v>0.08702802451940912</c:v>
                </c:pt>
                <c:pt idx="130">
                  <c:v>0.08942066356681011</c:v>
                </c:pt>
                <c:pt idx="131">
                  <c:v>0.0918531490072824</c:v>
                </c:pt>
                <c:pt idx="132">
                  <c:v>0.09432520145958331</c:v>
                </c:pt>
                <c:pt idx="133">
                  <c:v>0.09683655151908133</c:v>
                </c:pt>
                <c:pt idx="134">
                  <c:v>0.09938693877660043</c:v>
                </c:pt>
                <c:pt idx="135">
                  <c:v>0.1019761109138574</c:v>
                </c:pt>
                <c:pt idx="136">
                  <c:v>0.10460382294162447</c:v>
                </c:pt>
                <c:pt idx="137">
                  <c:v>0.1072698365095065</c:v>
                </c:pt>
                <c:pt idx="138">
                  <c:v>0.10997391931597167</c:v>
                </c:pt>
                <c:pt idx="139">
                  <c:v>0.1127158445797943</c:v>
                </c:pt>
                <c:pt idx="140">
                  <c:v>0.11549539058395668</c:v>
                </c:pt>
                <c:pt idx="141">
                  <c:v>0.11831234026989508</c:v>
                </c:pt>
                <c:pt idx="142">
                  <c:v>0.12116648088514775</c:v>
                </c:pt>
                <c:pt idx="143">
                  <c:v>0.12405760367120845</c:v>
                </c:pt>
                <c:pt idx="144">
                  <c:v>0.12698550359122437</c:v>
                </c:pt>
                <c:pt idx="145">
                  <c:v>0.12994997908927558</c:v>
                </c:pt>
                <c:pt idx="146">
                  <c:v>0.1329508318795916</c:v>
                </c:pt>
                <c:pt idx="147">
                  <c:v>0.13598786676028593</c:v>
                </c:pt>
                <c:pt idx="148">
                  <c:v>0.1390608914496711</c:v>
                </c:pt>
                <c:pt idx="149">
                  <c:v>0.1421697164414482</c:v>
                </c:pt>
                <c:pt idx="150">
                  <c:v>0.1453141548769264</c:v>
                </c:pt>
                <c:pt idx="151">
                  <c:v>0.14849402243167328</c:v>
                </c:pt>
                <c:pt idx="152">
                  <c:v>0.1517611411789787</c:v>
                </c:pt>
                <c:pt idx="153">
                  <c:v>0.15510803554837077</c:v>
                </c:pt>
                <c:pt idx="154">
                  <c:v>0.15853327722316196</c:v>
                </c:pt>
                <c:pt idx="155">
                  <c:v>0.16203279461380105</c:v>
                </c:pt>
                <c:pt idx="156">
                  <c:v>0.1656054656214354</c:v>
                </c:pt>
                <c:pt idx="157">
                  <c:v>0.16924881535436015</c:v>
                </c:pt>
                <c:pt idx="158">
                  <c:v>0.1729618954455103</c:v>
                </c:pt>
                <c:pt idx="159">
                  <c:v>0.1767430877684871</c:v>
                </c:pt>
                <c:pt idx="160">
                  <c:v>0.1805915765345793</c:v>
                </c:pt>
                <c:pt idx="161">
                  <c:v>0.18450621894480518</c:v>
                </c:pt>
                <c:pt idx="162">
                  <c:v>0.18848629950470383</c:v>
                </c:pt>
                <c:pt idx="163">
                  <c:v>0.1925309469442178</c:v>
                </c:pt>
                <c:pt idx="164">
                  <c:v>0.19663952205769689</c:v>
                </c:pt>
                <c:pt idx="165">
                  <c:v>0.20081131536362268</c:v>
                </c:pt>
                <c:pt idx="166">
                  <c:v>0.20504574709160442</c:v>
                </c:pt>
                <c:pt idx="167">
                  <c:v>0.2093422095719894</c:v>
                </c:pt>
                <c:pt idx="168">
                  <c:v>0.21370017054190513</c:v>
                </c:pt>
                <c:pt idx="169">
                  <c:v>0.218119090426773</c:v>
                </c:pt>
                <c:pt idx="170">
                  <c:v>0.2225984757164787</c:v>
                </c:pt>
                <c:pt idx="171">
                  <c:v>0.2271378351812378</c:v>
                </c:pt>
                <c:pt idx="172">
                  <c:v>0.2317367073939977</c:v>
                </c:pt>
                <c:pt idx="173">
                  <c:v>0.23639463730375657</c:v>
                </c:pt>
                <c:pt idx="174">
                  <c:v>0.2411111903495213</c:v>
                </c:pt>
                <c:pt idx="175">
                  <c:v>0.24588593975287884</c:v>
                </c:pt>
                <c:pt idx="176">
                  <c:v>0.2507184736766307</c:v>
                </c:pt>
                <c:pt idx="177">
                  <c:v>0.255608388210309</c:v>
                </c:pt>
                <c:pt idx="178">
                  <c:v>0.2605552909273275</c:v>
                </c:pt>
                <c:pt idx="179">
                  <c:v>0.26555879692606077</c:v>
                </c:pt>
                <c:pt idx="180">
                  <c:v>0.27061853053089174</c:v>
                </c:pt>
                <c:pt idx="181">
                  <c:v>0.2757341229947529</c:v>
                </c:pt>
                <c:pt idx="182">
                  <c:v>0.280905213252423</c:v>
                </c:pt>
                <c:pt idx="183">
                  <c:v>0.2861314465410644</c:v>
                </c:pt>
                <c:pt idx="184">
                  <c:v>0.2914124746776164</c:v>
                </c:pt>
                <c:pt idx="185">
                  <c:v>0.29674795519658875</c:v>
                </c:pt>
                <c:pt idx="186">
                  <c:v>0.30213755139551524</c:v>
                </c:pt>
                <c:pt idx="187">
                  <c:v>0.3075809317712073</c:v>
                </c:pt>
                <c:pt idx="188">
                  <c:v>0.3130777699582584</c:v>
                </c:pt>
                <c:pt idx="189">
                  <c:v>0.3186277443424104</c:v>
                </c:pt>
                <c:pt idx="190">
                  <c:v>0.3242305379551684</c:v>
                </c:pt>
                <c:pt idx="191">
                  <c:v>0.32988583819568595</c:v>
                </c:pt>
                <c:pt idx="192">
                  <c:v>0.33559333671241104</c:v>
                </c:pt>
                <c:pt idx="193">
                  <c:v>0.34135272919387444</c:v>
                </c:pt>
                <c:pt idx="194">
                  <c:v>0.34716371525180023</c:v>
                </c:pt>
                <c:pt idx="195">
                  <c:v>0.35302599825728564</c:v>
                </c:pt>
                <c:pt idx="196">
                  <c:v>0.35893928523146795</c:v>
                </c:pt>
                <c:pt idx="197">
                  <c:v>0.36490328671277</c:v>
                </c:pt>
                <c:pt idx="198">
                  <c:v>0.3709177166571111</c:v>
                </c:pt>
                <c:pt idx="199">
                  <c:v>0.3769822923271865</c:v>
                </c:pt>
                <c:pt idx="200">
                  <c:v>0.38309673420230334</c:v>
                </c:pt>
                <c:pt idx="201">
                  <c:v>0.3892607658838238</c:v>
                </c:pt>
                <c:pt idx="202">
                  <c:v>0.3974589544788433</c:v>
                </c:pt>
                <c:pt idx="203">
                  <c:v>0.4073246134288764</c:v>
                </c:pt>
                <c:pt idx="204">
                  <c:v>0.4187458175137533</c:v>
                </c:pt>
                <c:pt idx="205">
                  <c:v>0.4314840591764532</c:v>
                </c:pt>
                <c:pt idx="206">
                  <c:v>0.445441691622996</c:v>
                </c:pt>
                <c:pt idx="207">
                  <c:v>0.4604472758219976</c:v>
                </c:pt>
                <c:pt idx="208">
                  <c:v>0.4764116367420033</c:v>
                </c:pt>
                <c:pt idx="209">
                  <c:v>0.4932033865748894</c:v>
                </c:pt>
                <c:pt idx="210">
                  <c:v>0.5107402760269695</c:v>
                </c:pt>
                <c:pt idx="211">
                  <c:v>0.5289159927673545</c:v>
                </c:pt>
                <c:pt idx="212">
                  <c:v>0.5476542968990851</c:v>
                </c:pt>
                <c:pt idx="213">
                  <c:v>0.5668653602319884</c:v>
                </c:pt>
                <c:pt idx="214">
                  <c:v>0.5864783241792307</c:v>
                </c:pt>
                <c:pt idx="215">
                  <c:v>0.606414830028049</c:v>
                </c:pt>
                <c:pt idx="216">
                  <c:v>0.6266089147187538</c:v>
                </c:pt>
                <c:pt idx="217">
                  <c:v>0.6469906644568914</c:v>
                </c:pt>
                <c:pt idx="218">
                  <c:v>0.6674985788519201</c:v>
                </c:pt>
                <c:pt idx="219">
                  <c:v>0.6880692700937898</c:v>
                </c:pt>
                <c:pt idx="220">
                  <c:v>0.7092869290630041</c:v>
                </c:pt>
                <c:pt idx="221">
                  <c:v>0.7310643889631806</c:v>
                </c:pt>
                <c:pt idx="222">
                  <c:v>0.7533970469450743</c:v>
                </c:pt>
                <c:pt idx="223">
                  <c:v>0.7762251017795565</c:v>
                </c:pt>
                <c:pt idx="224">
                  <c:v>0.7995418113561183</c:v>
                </c:pt>
                <c:pt idx="225">
                  <c:v>0.8233027126423068</c:v>
                </c:pt>
                <c:pt idx="226">
                  <c:v>0.8474991196633977</c:v>
                </c:pt>
                <c:pt idx="227">
                  <c:v>0.8720962906285821</c:v>
                </c:pt>
                <c:pt idx="228">
                  <c:v>0.8970842627219057</c:v>
                </c:pt>
                <c:pt idx="229">
                  <c:v>0.9224346993670114</c:v>
                </c:pt>
                <c:pt idx="230">
                  <c:v>0.9481368130403328</c:v>
                </c:pt>
                <c:pt idx="231">
                  <c:v>0.974166595746446</c:v>
                </c:pt>
                <c:pt idx="232">
                  <c:v>1.0005128711105207</c:v>
                </c:pt>
                <c:pt idx="233">
                  <c:v>1.0271547249140278</c:v>
                </c:pt>
                <c:pt idx="234">
                  <c:v>1.054080891315545</c:v>
                </c:pt>
                <c:pt idx="235">
                  <c:v>1.0812727592816873</c:v>
                </c:pt>
                <c:pt idx="236">
                  <c:v>1.1087191820079405</c:v>
                </c:pt>
                <c:pt idx="237">
                  <c:v>1.1358759281577744</c:v>
                </c:pt>
                <c:pt idx="238">
                  <c:v>1.1628104058505275</c:v>
                </c:pt>
                <c:pt idx="239">
                  <c:v>1.189507341569771</c:v>
                </c:pt>
                <c:pt idx="240">
                  <c:v>1.21601243234425</c:v>
                </c:pt>
                <c:pt idx="241">
                  <c:v>1.2423066598394237</c:v>
                </c:pt>
                <c:pt idx="242">
                  <c:v>1.2684234883305416</c:v>
                </c:pt>
                <c:pt idx="243">
                  <c:v>1.2943429983998163</c:v>
                </c:pt>
                <c:pt idx="244">
                  <c:v>1.3200912290580527</c:v>
                </c:pt>
                <c:pt idx="245">
                  <c:v>1.345648292081841</c:v>
                </c:pt>
                <c:pt idx="246">
                  <c:v>1.3710354516504533</c:v>
                </c:pt>
                <c:pt idx="247">
                  <c:v>1.3962332042452623</c:v>
                </c:pt>
                <c:pt idx="248">
                  <c:v>1.4212597208002378</c:v>
                </c:pt>
                <c:pt idx="249">
                  <c:v>1.4460958665646209</c:v>
                </c:pt>
                <c:pt idx="250">
                  <c:v>1.4707578165524644</c:v>
                </c:pt>
                <c:pt idx="251">
                  <c:v>1.4952525436585709</c:v>
                </c:pt>
                <c:pt idx="252">
                  <c:v>1.5194372552151831</c:v>
                </c:pt>
                <c:pt idx="253">
                  <c:v>1.5433354629187714</c:v>
                </c:pt>
                <c:pt idx="254">
                  <c:v>1.5669705234854792</c:v>
                </c:pt>
                <c:pt idx="255">
                  <c:v>1.5903551955647954</c:v>
                </c:pt>
                <c:pt idx="256">
                  <c:v>1.613506351111007</c:v>
                </c:pt>
                <c:pt idx="257">
                  <c:v>1.6364609167974837</c:v>
                </c:pt>
                <c:pt idx="258">
                  <c:v>1.659178781507534</c:v>
                </c:pt>
                <c:pt idx="259">
                  <c:v>1.6816771540902187</c:v>
                </c:pt>
                <c:pt idx="260">
                  <c:v>1.7039935792952396</c:v>
                </c:pt>
                <c:pt idx="261">
                  <c:v>1.7261220975945721</c:v>
                </c:pt>
                <c:pt idx="262">
                  <c:v>1.7480559755159848</c:v>
                </c:pt>
                <c:pt idx="263">
                  <c:v>1.7698135093237455</c:v>
                </c:pt>
                <c:pt idx="264">
                  <c:v>1.7914044868086745</c:v>
                </c:pt>
                <c:pt idx="265">
                  <c:v>1.8128252280659405</c:v>
                </c:pt>
                <c:pt idx="266">
                  <c:v>1.8340808062722125</c:v>
                </c:pt>
                <c:pt idx="267">
                  <c:v>1.855181093018956</c:v>
                </c:pt>
                <c:pt idx="268">
                  <c:v>1.8761283968276148</c:v>
                </c:pt>
                <c:pt idx="269">
                  <c:v>1.8969240298498304</c:v>
                </c:pt>
                <c:pt idx="270">
                  <c:v>1.9175739192787793</c:v>
                </c:pt>
                <c:pt idx="271">
                  <c:v>1.9380826634164063</c:v>
                </c:pt>
                <c:pt idx="272">
                  <c:v>1.9584520296895902</c:v>
                </c:pt>
                <c:pt idx="273">
                  <c:v>1.978685269208546</c:v>
                </c:pt>
                <c:pt idx="274">
                  <c:v>1.9987866248789021</c:v>
                </c:pt>
                <c:pt idx="275">
                  <c:v>2.018758761473911</c:v>
                </c:pt>
                <c:pt idx="276">
                  <c:v>2.0386040015440834</c:v>
                </c:pt>
                <c:pt idx="277">
                  <c:v>2.058325573133934</c:v>
                </c:pt>
                <c:pt idx="278">
                  <c:v>2.077926379152539</c:v>
                </c:pt>
                <c:pt idx="279">
                  <c:v>2.097408637909858</c:v>
                </c:pt>
                <c:pt idx="280">
                  <c:v>2.1167748354061495</c:v>
                </c:pt>
                <c:pt idx="281">
                  <c:v>2.136027627356736</c:v>
                </c:pt>
                <c:pt idx="282">
                  <c:v>2.1551692542389906</c:v>
                </c:pt>
                <c:pt idx="283">
                  <c:v>2.174201833695717</c:v>
                </c:pt>
                <c:pt idx="284">
                  <c:v>2.1931276520442813</c:v>
                </c:pt>
                <c:pt idx="285">
                  <c:v>2.211948865563034</c:v>
                </c:pt>
                <c:pt idx="286">
                  <c:v>2.230667424508333</c:v>
                </c:pt>
                <c:pt idx="287">
                  <c:v>2.2492853122323746</c:v>
                </c:pt>
                <c:pt idx="288">
                  <c:v>2.267804510910623</c:v>
                </c:pt>
                <c:pt idx="289">
                  <c:v>2.2862268567153694</c:v>
                </c:pt>
                <c:pt idx="290">
                  <c:v>2.304554125845354</c:v>
                </c:pt>
                <c:pt idx="291">
                  <c:v>2.322788105803567</c:v>
                </c:pt>
                <c:pt idx="292">
                  <c:v>2.340930511793884</c:v>
                </c:pt>
                <c:pt idx="293">
                  <c:v>2.358982974986246</c:v>
                </c:pt>
                <c:pt idx="294">
                  <c:v>2.3769471101386763</c:v>
                </c:pt>
                <c:pt idx="295">
                  <c:v>2.394824500132331</c:v>
                </c:pt>
                <c:pt idx="296">
                  <c:v>2.412616658111958</c:v>
                </c:pt>
                <c:pt idx="297">
                  <c:v>2.430325057696881</c:v>
                </c:pt>
                <c:pt idx="298">
                  <c:v>2.4479511507166265</c:v>
                </c:pt>
                <c:pt idx="299">
                  <c:v>2.4654963411758253</c:v>
                </c:pt>
                <c:pt idx="300">
                  <c:v>2.4829619864980845</c:v>
                </c:pt>
                <c:pt idx="301">
                  <c:v>2.5003494187051216</c:v>
                </c:pt>
                <c:pt idx="302">
                  <c:v>2.517659937105466</c:v>
                </c:pt>
                <c:pt idx="303">
                  <c:v>2.5348947985856443</c:v>
                </c:pt>
                <c:pt idx="304">
                  <c:v>2.5520552297126713</c:v>
                </c:pt>
                <c:pt idx="305">
                  <c:v>2.569142430955283</c:v>
                </c:pt>
                <c:pt idx="306">
                  <c:v>2.5861575681447477</c:v>
                </c:pt>
                <c:pt idx="307">
                  <c:v>2.603101775354625</c:v>
                </c:pt>
                <c:pt idx="308">
                  <c:v>2.619976162108664</c:v>
                </c:pt>
                <c:pt idx="309">
                  <c:v>2.636781810003351</c:v>
                </c:pt>
                <c:pt idx="310">
                  <c:v>2.653519770790182</c:v>
                </c:pt>
                <c:pt idx="311">
                  <c:v>2.6701910717146826</c:v>
                </c:pt>
                <c:pt idx="312">
                  <c:v>2.6867967163436455</c:v>
                </c:pt>
                <c:pt idx="313">
                  <c:v>2.703337681881884</c:v>
                </c:pt>
                <c:pt idx="314">
                  <c:v>2.7198149215111482</c:v>
                </c:pt>
                <c:pt idx="315">
                  <c:v>2.736229367010661</c:v>
                </c:pt>
                <c:pt idx="316">
                  <c:v>2.7525819273109686</c:v>
                </c:pt>
                <c:pt idx="317">
                  <c:v>2.768873488705118</c:v>
                </c:pt>
                <c:pt idx="318">
                  <c:v>2.785104917377055</c:v>
                </c:pt>
                <c:pt idx="319">
                  <c:v>2.801277059467986</c:v>
                </c:pt>
                <c:pt idx="320">
                  <c:v>2.8173907404681304</c:v>
                </c:pt>
                <c:pt idx="321">
                  <c:v>2.8334467668286183</c:v>
                </c:pt>
                <c:pt idx="322">
                  <c:v>2.8494459269709207</c:v>
                </c:pt>
                <c:pt idx="323">
                  <c:v>2.8653889907864194</c:v>
                </c:pt>
                <c:pt idx="324">
                  <c:v>2.8812767103240278</c:v>
                </c:pt>
                <c:pt idx="325">
                  <c:v>2.8971098210505266</c:v>
                </c:pt>
                <c:pt idx="326">
                  <c:v>2.9128890418276328</c:v>
                </c:pt>
                <c:pt idx="327">
                  <c:v>2.928615075038466</c:v>
                </c:pt>
                <c:pt idx="328">
                  <c:v>2.944288607640127</c:v>
                </c:pt>
                <c:pt idx="329">
                  <c:v>2.9599103115834926</c:v>
                </c:pt>
                <c:pt idx="330">
                  <c:v>2.975480843768427</c:v>
                </c:pt>
                <c:pt idx="331">
                  <c:v>2.991000846725326</c:v>
                </c:pt>
                <c:pt idx="332">
                  <c:v>3.006470949266785</c:v>
                </c:pt>
                <c:pt idx="333">
                  <c:v>3.0218917665231375</c:v>
                </c:pt>
                <c:pt idx="334">
                  <c:v>3.037263900298117</c:v>
                </c:pt>
                <c:pt idx="335">
                  <c:v>3.0525879397376396</c:v>
                </c:pt>
                <c:pt idx="336">
                  <c:v>3.06786446153465</c:v>
                </c:pt>
                <c:pt idx="337">
                  <c:v>3.083094030093272</c:v>
                </c:pt>
                <c:pt idx="338">
                  <c:v>3.098277198079032</c:v>
                </c:pt>
                <c:pt idx="339">
                  <c:v>3.1134145067671155</c:v>
                </c:pt>
                <c:pt idx="340">
                  <c:v>3.1285064861483356</c:v>
                </c:pt>
                <c:pt idx="341">
                  <c:v>3.1435536553164916</c:v>
                </c:pt>
                <c:pt idx="342">
                  <c:v>3.158556522883361</c:v>
                </c:pt>
                <c:pt idx="343">
                  <c:v>3.173515587113749</c:v>
                </c:pt>
                <c:pt idx="344">
                  <c:v>3.1884313361716754</c:v>
                </c:pt>
                <c:pt idx="345">
                  <c:v>3.203304248524687</c:v>
                </c:pt>
                <c:pt idx="346">
                  <c:v>3.2181347931411612</c:v>
                </c:pt>
                <c:pt idx="347">
                  <c:v>3.232923429647804</c:v>
                </c:pt>
                <c:pt idx="348">
                  <c:v>3.2476706086717475</c:v>
                </c:pt>
                <c:pt idx="349">
                  <c:v>3.262376772092233</c:v>
                </c:pt>
                <c:pt idx="350">
                  <c:v>3.2770423531637896</c:v>
                </c:pt>
              </c:numCache>
            </c:numRef>
          </c:val>
          <c:smooth val="0"/>
        </c:ser>
        <c:ser>
          <c:idx val="3"/>
          <c:order val="2"/>
          <c:tx>
            <c:v>RF CH4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modello!$F$4:$F$354</c:f>
              <c:numCache>
                <c:ptCount val="351"/>
                <c:pt idx="0">
                  <c:v>1750</c:v>
                </c:pt>
                <c:pt idx="1">
                  <c:v>1751</c:v>
                </c:pt>
                <c:pt idx="2">
                  <c:v>1752</c:v>
                </c:pt>
                <c:pt idx="3">
                  <c:v>1753</c:v>
                </c:pt>
                <c:pt idx="4">
                  <c:v>1754</c:v>
                </c:pt>
                <c:pt idx="5">
                  <c:v>1755</c:v>
                </c:pt>
                <c:pt idx="6">
                  <c:v>1756</c:v>
                </c:pt>
                <c:pt idx="7">
                  <c:v>1757</c:v>
                </c:pt>
                <c:pt idx="8">
                  <c:v>1758</c:v>
                </c:pt>
                <c:pt idx="9">
                  <c:v>1759</c:v>
                </c:pt>
                <c:pt idx="10">
                  <c:v>1760</c:v>
                </c:pt>
                <c:pt idx="11">
                  <c:v>1761</c:v>
                </c:pt>
                <c:pt idx="12">
                  <c:v>1762</c:v>
                </c:pt>
                <c:pt idx="13">
                  <c:v>1763</c:v>
                </c:pt>
                <c:pt idx="14">
                  <c:v>1764</c:v>
                </c:pt>
                <c:pt idx="15">
                  <c:v>1765</c:v>
                </c:pt>
                <c:pt idx="16">
                  <c:v>1766</c:v>
                </c:pt>
                <c:pt idx="17">
                  <c:v>1767</c:v>
                </c:pt>
                <c:pt idx="18">
                  <c:v>1768</c:v>
                </c:pt>
                <c:pt idx="19">
                  <c:v>1769</c:v>
                </c:pt>
                <c:pt idx="20">
                  <c:v>1770</c:v>
                </c:pt>
                <c:pt idx="21">
                  <c:v>1771</c:v>
                </c:pt>
                <c:pt idx="22">
                  <c:v>1772</c:v>
                </c:pt>
                <c:pt idx="23">
                  <c:v>1773</c:v>
                </c:pt>
                <c:pt idx="24">
                  <c:v>1774</c:v>
                </c:pt>
                <c:pt idx="25">
                  <c:v>1775</c:v>
                </c:pt>
                <c:pt idx="26">
                  <c:v>1776</c:v>
                </c:pt>
                <c:pt idx="27">
                  <c:v>1777</c:v>
                </c:pt>
                <c:pt idx="28">
                  <c:v>1778</c:v>
                </c:pt>
                <c:pt idx="29">
                  <c:v>1779</c:v>
                </c:pt>
                <c:pt idx="30">
                  <c:v>1780</c:v>
                </c:pt>
                <c:pt idx="31">
                  <c:v>1781</c:v>
                </c:pt>
                <c:pt idx="32">
                  <c:v>1782</c:v>
                </c:pt>
                <c:pt idx="33">
                  <c:v>1783</c:v>
                </c:pt>
                <c:pt idx="34">
                  <c:v>1784</c:v>
                </c:pt>
                <c:pt idx="35">
                  <c:v>1785</c:v>
                </c:pt>
                <c:pt idx="36">
                  <c:v>1786</c:v>
                </c:pt>
                <c:pt idx="37">
                  <c:v>1787</c:v>
                </c:pt>
                <c:pt idx="38">
                  <c:v>1788</c:v>
                </c:pt>
                <c:pt idx="39">
                  <c:v>1789</c:v>
                </c:pt>
                <c:pt idx="40">
                  <c:v>1790</c:v>
                </c:pt>
                <c:pt idx="41">
                  <c:v>1791</c:v>
                </c:pt>
                <c:pt idx="42">
                  <c:v>1792</c:v>
                </c:pt>
                <c:pt idx="43">
                  <c:v>1793</c:v>
                </c:pt>
                <c:pt idx="44">
                  <c:v>1794</c:v>
                </c:pt>
                <c:pt idx="45">
                  <c:v>1795</c:v>
                </c:pt>
                <c:pt idx="46">
                  <c:v>1796</c:v>
                </c:pt>
                <c:pt idx="47">
                  <c:v>1797</c:v>
                </c:pt>
                <c:pt idx="48">
                  <c:v>1798</c:v>
                </c:pt>
                <c:pt idx="49">
                  <c:v>1799</c:v>
                </c:pt>
                <c:pt idx="50">
                  <c:v>1800</c:v>
                </c:pt>
                <c:pt idx="51">
                  <c:v>1801</c:v>
                </c:pt>
                <c:pt idx="52">
                  <c:v>1802</c:v>
                </c:pt>
                <c:pt idx="53">
                  <c:v>1803</c:v>
                </c:pt>
                <c:pt idx="54">
                  <c:v>1804</c:v>
                </c:pt>
                <c:pt idx="55">
                  <c:v>1805</c:v>
                </c:pt>
                <c:pt idx="56">
                  <c:v>1806</c:v>
                </c:pt>
                <c:pt idx="57">
                  <c:v>1807</c:v>
                </c:pt>
                <c:pt idx="58">
                  <c:v>1808</c:v>
                </c:pt>
                <c:pt idx="59">
                  <c:v>1809</c:v>
                </c:pt>
                <c:pt idx="60">
                  <c:v>1810</c:v>
                </c:pt>
                <c:pt idx="61">
                  <c:v>1811</c:v>
                </c:pt>
                <c:pt idx="62">
                  <c:v>1812</c:v>
                </c:pt>
                <c:pt idx="63">
                  <c:v>1813</c:v>
                </c:pt>
                <c:pt idx="64">
                  <c:v>1814</c:v>
                </c:pt>
                <c:pt idx="65">
                  <c:v>1815</c:v>
                </c:pt>
                <c:pt idx="66">
                  <c:v>1816</c:v>
                </c:pt>
                <c:pt idx="67">
                  <c:v>1817</c:v>
                </c:pt>
                <c:pt idx="68">
                  <c:v>1818</c:v>
                </c:pt>
                <c:pt idx="69">
                  <c:v>1819</c:v>
                </c:pt>
                <c:pt idx="70">
                  <c:v>1820</c:v>
                </c:pt>
                <c:pt idx="71">
                  <c:v>1821</c:v>
                </c:pt>
                <c:pt idx="72">
                  <c:v>1822</c:v>
                </c:pt>
                <c:pt idx="73">
                  <c:v>1823</c:v>
                </c:pt>
                <c:pt idx="74">
                  <c:v>1824</c:v>
                </c:pt>
                <c:pt idx="75">
                  <c:v>1825</c:v>
                </c:pt>
                <c:pt idx="76">
                  <c:v>1826</c:v>
                </c:pt>
                <c:pt idx="77">
                  <c:v>1827</c:v>
                </c:pt>
                <c:pt idx="78">
                  <c:v>1828</c:v>
                </c:pt>
                <c:pt idx="79">
                  <c:v>1829</c:v>
                </c:pt>
                <c:pt idx="80">
                  <c:v>1830</c:v>
                </c:pt>
                <c:pt idx="81">
                  <c:v>1831</c:v>
                </c:pt>
                <c:pt idx="82">
                  <c:v>1832</c:v>
                </c:pt>
                <c:pt idx="83">
                  <c:v>1833</c:v>
                </c:pt>
                <c:pt idx="84">
                  <c:v>1834</c:v>
                </c:pt>
                <c:pt idx="85">
                  <c:v>1835</c:v>
                </c:pt>
                <c:pt idx="86">
                  <c:v>1836</c:v>
                </c:pt>
                <c:pt idx="87">
                  <c:v>1837</c:v>
                </c:pt>
                <c:pt idx="88">
                  <c:v>1838</c:v>
                </c:pt>
                <c:pt idx="89">
                  <c:v>1839</c:v>
                </c:pt>
                <c:pt idx="90">
                  <c:v>1840</c:v>
                </c:pt>
                <c:pt idx="91">
                  <c:v>1841</c:v>
                </c:pt>
                <c:pt idx="92">
                  <c:v>1842</c:v>
                </c:pt>
                <c:pt idx="93">
                  <c:v>1843</c:v>
                </c:pt>
                <c:pt idx="94">
                  <c:v>1844</c:v>
                </c:pt>
                <c:pt idx="95">
                  <c:v>1845</c:v>
                </c:pt>
                <c:pt idx="96">
                  <c:v>1846</c:v>
                </c:pt>
                <c:pt idx="97">
                  <c:v>1847</c:v>
                </c:pt>
                <c:pt idx="98">
                  <c:v>1848</c:v>
                </c:pt>
                <c:pt idx="99">
                  <c:v>1849</c:v>
                </c:pt>
                <c:pt idx="100">
                  <c:v>1850</c:v>
                </c:pt>
                <c:pt idx="101">
                  <c:v>1851</c:v>
                </c:pt>
                <c:pt idx="102">
                  <c:v>1852</c:v>
                </c:pt>
                <c:pt idx="103">
                  <c:v>1853</c:v>
                </c:pt>
                <c:pt idx="104">
                  <c:v>1854</c:v>
                </c:pt>
                <c:pt idx="105">
                  <c:v>1855</c:v>
                </c:pt>
                <c:pt idx="106">
                  <c:v>1856</c:v>
                </c:pt>
                <c:pt idx="107">
                  <c:v>1857</c:v>
                </c:pt>
                <c:pt idx="108">
                  <c:v>1858</c:v>
                </c:pt>
                <c:pt idx="109">
                  <c:v>1859</c:v>
                </c:pt>
                <c:pt idx="110">
                  <c:v>1860</c:v>
                </c:pt>
                <c:pt idx="111">
                  <c:v>1861</c:v>
                </c:pt>
                <c:pt idx="112">
                  <c:v>1862</c:v>
                </c:pt>
                <c:pt idx="113">
                  <c:v>1863</c:v>
                </c:pt>
                <c:pt idx="114">
                  <c:v>1864</c:v>
                </c:pt>
                <c:pt idx="115">
                  <c:v>1865</c:v>
                </c:pt>
                <c:pt idx="116">
                  <c:v>1866</c:v>
                </c:pt>
                <c:pt idx="117">
                  <c:v>1867</c:v>
                </c:pt>
                <c:pt idx="118">
                  <c:v>1868</c:v>
                </c:pt>
                <c:pt idx="119">
                  <c:v>1869</c:v>
                </c:pt>
                <c:pt idx="120">
                  <c:v>1870</c:v>
                </c:pt>
                <c:pt idx="121">
                  <c:v>1871</c:v>
                </c:pt>
                <c:pt idx="122">
                  <c:v>1872</c:v>
                </c:pt>
                <c:pt idx="123">
                  <c:v>1873</c:v>
                </c:pt>
                <c:pt idx="124">
                  <c:v>1874</c:v>
                </c:pt>
                <c:pt idx="125">
                  <c:v>1875</c:v>
                </c:pt>
                <c:pt idx="126">
                  <c:v>1876</c:v>
                </c:pt>
                <c:pt idx="127">
                  <c:v>1877</c:v>
                </c:pt>
                <c:pt idx="128">
                  <c:v>1878</c:v>
                </c:pt>
                <c:pt idx="129">
                  <c:v>1879</c:v>
                </c:pt>
                <c:pt idx="130">
                  <c:v>1880</c:v>
                </c:pt>
                <c:pt idx="131">
                  <c:v>1881</c:v>
                </c:pt>
                <c:pt idx="132">
                  <c:v>1882</c:v>
                </c:pt>
                <c:pt idx="133">
                  <c:v>1883</c:v>
                </c:pt>
                <c:pt idx="134">
                  <c:v>1884</c:v>
                </c:pt>
                <c:pt idx="135">
                  <c:v>1885</c:v>
                </c:pt>
                <c:pt idx="136">
                  <c:v>1886</c:v>
                </c:pt>
                <c:pt idx="137">
                  <c:v>1887</c:v>
                </c:pt>
                <c:pt idx="138">
                  <c:v>1888</c:v>
                </c:pt>
                <c:pt idx="139">
                  <c:v>1889</c:v>
                </c:pt>
                <c:pt idx="140">
                  <c:v>1890</c:v>
                </c:pt>
                <c:pt idx="141">
                  <c:v>1891</c:v>
                </c:pt>
                <c:pt idx="142">
                  <c:v>1892</c:v>
                </c:pt>
                <c:pt idx="143">
                  <c:v>1893</c:v>
                </c:pt>
                <c:pt idx="144">
                  <c:v>1894</c:v>
                </c:pt>
                <c:pt idx="145">
                  <c:v>1895</c:v>
                </c:pt>
                <c:pt idx="146">
                  <c:v>1896</c:v>
                </c:pt>
                <c:pt idx="147">
                  <c:v>1897</c:v>
                </c:pt>
                <c:pt idx="148">
                  <c:v>1898</c:v>
                </c:pt>
                <c:pt idx="149">
                  <c:v>1899</c:v>
                </c:pt>
                <c:pt idx="150">
                  <c:v>1900</c:v>
                </c:pt>
                <c:pt idx="151">
                  <c:v>1901</c:v>
                </c:pt>
                <c:pt idx="152">
                  <c:v>1902</c:v>
                </c:pt>
                <c:pt idx="153">
                  <c:v>1903</c:v>
                </c:pt>
                <c:pt idx="154">
                  <c:v>1904</c:v>
                </c:pt>
                <c:pt idx="155">
                  <c:v>1905</c:v>
                </c:pt>
                <c:pt idx="156">
                  <c:v>1906</c:v>
                </c:pt>
                <c:pt idx="157">
                  <c:v>1907</c:v>
                </c:pt>
                <c:pt idx="158">
                  <c:v>1908</c:v>
                </c:pt>
                <c:pt idx="159">
                  <c:v>1909</c:v>
                </c:pt>
                <c:pt idx="160">
                  <c:v>1910</c:v>
                </c:pt>
                <c:pt idx="161">
                  <c:v>1911</c:v>
                </c:pt>
                <c:pt idx="162">
                  <c:v>1912</c:v>
                </c:pt>
                <c:pt idx="163">
                  <c:v>1913</c:v>
                </c:pt>
                <c:pt idx="164">
                  <c:v>1914</c:v>
                </c:pt>
                <c:pt idx="165">
                  <c:v>1915</c:v>
                </c:pt>
                <c:pt idx="166">
                  <c:v>1916</c:v>
                </c:pt>
                <c:pt idx="167">
                  <c:v>1917</c:v>
                </c:pt>
                <c:pt idx="168">
                  <c:v>1918</c:v>
                </c:pt>
                <c:pt idx="169">
                  <c:v>1919</c:v>
                </c:pt>
                <c:pt idx="170">
                  <c:v>1920</c:v>
                </c:pt>
                <c:pt idx="171">
                  <c:v>1921</c:v>
                </c:pt>
                <c:pt idx="172">
                  <c:v>1922</c:v>
                </c:pt>
                <c:pt idx="173">
                  <c:v>1923</c:v>
                </c:pt>
                <c:pt idx="174">
                  <c:v>1924</c:v>
                </c:pt>
                <c:pt idx="175">
                  <c:v>1925</c:v>
                </c:pt>
                <c:pt idx="176">
                  <c:v>1926</c:v>
                </c:pt>
                <c:pt idx="177">
                  <c:v>1927</c:v>
                </c:pt>
                <c:pt idx="178">
                  <c:v>1928</c:v>
                </c:pt>
                <c:pt idx="179">
                  <c:v>1929</c:v>
                </c:pt>
                <c:pt idx="180">
                  <c:v>1930</c:v>
                </c:pt>
                <c:pt idx="181">
                  <c:v>1931</c:v>
                </c:pt>
                <c:pt idx="182">
                  <c:v>1932</c:v>
                </c:pt>
                <c:pt idx="183">
                  <c:v>1933</c:v>
                </c:pt>
                <c:pt idx="184">
                  <c:v>1934</c:v>
                </c:pt>
                <c:pt idx="185">
                  <c:v>1935</c:v>
                </c:pt>
                <c:pt idx="186">
                  <c:v>1936</c:v>
                </c:pt>
                <c:pt idx="187">
                  <c:v>1937</c:v>
                </c:pt>
                <c:pt idx="188">
                  <c:v>1938</c:v>
                </c:pt>
                <c:pt idx="189">
                  <c:v>1939</c:v>
                </c:pt>
                <c:pt idx="190">
                  <c:v>1940</c:v>
                </c:pt>
                <c:pt idx="191">
                  <c:v>1941</c:v>
                </c:pt>
                <c:pt idx="192">
                  <c:v>1942</c:v>
                </c:pt>
                <c:pt idx="193">
                  <c:v>1943</c:v>
                </c:pt>
                <c:pt idx="194">
                  <c:v>1944</c:v>
                </c:pt>
                <c:pt idx="195">
                  <c:v>1945</c:v>
                </c:pt>
                <c:pt idx="196">
                  <c:v>1946</c:v>
                </c:pt>
                <c:pt idx="197">
                  <c:v>1947</c:v>
                </c:pt>
                <c:pt idx="198">
                  <c:v>1948</c:v>
                </c:pt>
                <c:pt idx="199">
                  <c:v>1949</c:v>
                </c:pt>
                <c:pt idx="200">
                  <c:v>1950</c:v>
                </c:pt>
                <c:pt idx="201">
                  <c:v>1951</c:v>
                </c:pt>
                <c:pt idx="202">
                  <c:v>1952</c:v>
                </c:pt>
                <c:pt idx="203">
                  <c:v>1953</c:v>
                </c:pt>
                <c:pt idx="204">
                  <c:v>1954</c:v>
                </c:pt>
                <c:pt idx="205">
                  <c:v>1955</c:v>
                </c:pt>
                <c:pt idx="206">
                  <c:v>1956</c:v>
                </c:pt>
                <c:pt idx="207">
                  <c:v>1957</c:v>
                </c:pt>
                <c:pt idx="208">
                  <c:v>1958</c:v>
                </c:pt>
                <c:pt idx="209">
                  <c:v>1959</c:v>
                </c:pt>
                <c:pt idx="210">
                  <c:v>1960</c:v>
                </c:pt>
                <c:pt idx="211">
                  <c:v>1961</c:v>
                </c:pt>
                <c:pt idx="212">
                  <c:v>1962</c:v>
                </c:pt>
                <c:pt idx="213">
                  <c:v>1963</c:v>
                </c:pt>
                <c:pt idx="214">
                  <c:v>1964</c:v>
                </c:pt>
                <c:pt idx="215">
                  <c:v>1965</c:v>
                </c:pt>
                <c:pt idx="216">
                  <c:v>1966</c:v>
                </c:pt>
                <c:pt idx="217">
                  <c:v>1967</c:v>
                </c:pt>
                <c:pt idx="218">
                  <c:v>1968</c:v>
                </c:pt>
                <c:pt idx="219">
                  <c:v>1969</c:v>
                </c:pt>
                <c:pt idx="220">
                  <c:v>1970</c:v>
                </c:pt>
                <c:pt idx="221">
                  <c:v>1971</c:v>
                </c:pt>
                <c:pt idx="222">
                  <c:v>1972</c:v>
                </c:pt>
                <c:pt idx="223">
                  <c:v>1973</c:v>
                </c:pt>
                <c:pt idx="224">
                  <c:v>1974</c:v>
                </c:pt>
                <c:pt idx="225">
                  <c:v>1975</c:v>
                </c:pt>
                <c:pt idx="226">
                  <c:v>1976</c:v>
                </c:pt>
                <c:pt idx="227">
                  <c:v>1977</c:v>
                </c:pt>
                <c:pt idx="228">
                  <c:v>1978</c:v>
                </c:pt>
                <c:pt idx="229">
                  <c:v>1979</c:v>
                </c:pt>
                <c:pt idx="230">
                  <c:v>1980</c:v>
                </c:pt>
                <c:pt idx="231">
                  <c:v>1981</c:v>
                </c:pt>
                <c:pt idx="232">
                  <c:v>1982</c:v>
                </c:pt>
                <c:pt idx="233">
                  <c:v>1983</c:v>
                </c:pt>
                <c:pt idx="234">
                  <c:v>1984</c:v>
                </c:pt>
                <c:pt idx="235">
                  <c:v>1985</c:v>
                </c:pt>
                <c:pt idx="236">
                  <c:v>1986</c:v>
                </c:pt>
                <c:pt idx="237">
                  <c:v>1987</c:v>
                </c:pt>
                <c:pt idx="238">
                  <c:v>1988</c:v>
                </c:pt>
                <c:pt idx="239">
                  <c:v>1989</c:v>
                </c:pt>
                <c:pt idx="240">
                  <c:v>1990</c:v>
                </c:pt>
                <c:pt idx="241">
                  <c:v>1991</c:v>
                </c:pt>
                <c:pt idx="242">
                  <c:v>1992</c:v>
                </c:pt>
                <c:pt idx="243">
                  <c:v>1993</c:v>
                </c:pt>
                <c:pt idx="244">
                  <c:v>1994</c:v>
                </c:pt>
                <c:pt idx="245">
                  <c:v>1995</c:v>
                </c:pt>
                <c:pt idx="246">
                  <c:v>1996</c:v>
                </c:pt>
                <c:pt idx="247">
                  <c:v>1997</c:v>
                </c:pt>
                <c:pt idx="248">
                  <c:v>1998</c:v>
                </c:pt>
                <c:pt idx="249">
                  <c:v>1999</c:v>
                </c:pt>
                <c:pt idx="250">
                  <c:v>2000</c:v>
                </c:pt>
                <c:pt idx="251">
                  <c:v>2001</c:v>
                </c:pt>
                <c:pt idx="252">
                  <c:v>2002</c:v>
                </c:pt>
                <c:pt idx="253">
                  <c:v>2003</c:v>
                </c:pt>
                <c:pt idx="254">
                  <c:v>2004</c:v>
                </c:pt>
                <c:pt idx="255">
                  <c:v>2005</c:v>
                </c:pt>
                <c:pt idx="256">
                  <c:v>2006</c:v>
                </c:pt>
                <c:pt idx="257">
                  <c:v>2007</c:v>
                </c:pt>
                <c:pt idx="258">
                  <c:v>2008</c:v>
                </c:pt>
                <c:pt idx="259">
                  <c:v>2009</c:v>
                </c:pt>
                <c:pt idx="260">
                  <c:v>2010</c:v>
                </c:pt>
                <c:pt idx="261">
                  <c:v>2011</c:v>
                </c:pt>
                <c:pt idx="262">
                  <c:v>2012</c:v>
                </c:pt>
                <c:pt idx="263">
                  <c:v>2013</c:v>
                </c:pt>
                <c:pt idx="264">
                  <c:v>2014</c:v>
                </c:pt>
                <c:pt idx="265">
                  <c:v>2015</c:v>
                </c:pt>
                <c:pt idx="266">
                  <c:v>2016</c:v>
                </c:pt>
                <c:pt idx="267">
                  <c:v>2017</c:v>
                </c:pt>
                <c:pt idx="268">
                  <c:v>2018</c:v>
                </c:pt>
                <c:pt idx="269">
                  <c:v>2019</c:v>
                </c:pt>
                <c:pt idx="270">
                  <c:v>2020</c:v>
                </c:pt>
                <c:pt idx="271">
                  <c:v>2021</c:v>
                </c:pt>
                <c:pt idx="272">
                  <c:v>2022</c:v>
                </c:pt>
                <c:pt idx="273">
                  <c:v>2023</c:v>
                </c:pt>
                <c:pt idx="274">
                  <c:v>2024</c:v>
                </c:pt>
                <c:pt idx="275">
                  <c:v>2025</c:v>
                </c:pt>
                <c:pt idx="276">
                  <c:v>2026</c:v>
                </c:pt>
                <c:pt idx="277">
                  <c:v>2027</c:v>
                </c:pt>
                <c:pt idx="278">
                  <c:v>2028</c:v>
                </c:pt>
                <c:pt idx="279">
                  <c:v>2029</c:v>
                </c:pt>
                <c:pt idx="280">
                  <c:v>2030</c:v>
                </c:pt>
                <c:pt idx="281">
                  <c:v>2031</c:v>
                </c:pt>
                <c:pt idx="282">
                  <c:v>2032</c:v>
                </c:pt>
                <c:pt idx="283">
                  <c:v>2033</c:v>
                </c:pt>
                <c:pt idx="284">
                  <c:v>2034</c:v>
                </c:pt>
                <c:pt idx="285">
                  <c:v>2035</c:v>
                </c:pt>
                <c:pt idx="286">
                  <c:v>2036</c:v>
                </c:pt>
                <c:pt idx="287">
                  <c:v>2037</c:v>
                </c:pt>
                <c:pt idx="288">
                  <c:v>2038</c:v>
                </c:pt>
                <c:pt idx="289">
                  <c:v>2039</c:v>
                </c:pt>
                <c:pt idx="290">
                  <c:v>2040</c:v>
                </c:pt>
                <c:pt idx="291">
                  <c:v>2041</c:v>
                </c:pt>
                <c:pt idx="292">
                  <c:v>2042</c:v>
                </c:pt>
                <c:pt idx="293">
                  <c:v>2043</c:v>
                </c:pt>
                <c:pt idx="294">
                  <c:v>2044</c:v>
                </c:pt>
                <c:pt idx="295">
                  <c:v>2045</c:v>
                </c:pt>
                <c:pt idx="296">
                  <c:v>2046</c:v>
                </c:pt>
                <c:pt idx="297">
                  <c:v>2047</c:v>
                </c:pt>
                <c:pt idx="298">
                  <c:v>2048</c:v>
                </c:pt>
                <c:pt idx="299">
                  <c:v>2049</c:v>
                </c:pt>
                <c:pt idx="300">
                  <c:v>2050</c:v>
                </c:pt>
                <c:pt idx="301">
                  <c:v>2051</c:v>
                </c:pt>
                <c:pt idx="302">
                  <c:v>2052</c:v>
                </c:pt>
                <c:pt idx="303">
                  <c:v>2053</c:v>
                </c:pt>
                <c:pt idx="304">
                  <c:v>2054</c:v>
                </c:pt>
                <c:pt idx="305">
                  <c:v>2055</c:v>
                </c:pt>
                <c:pt idx="306">
                  <c:v>2056</c:v>
                </c:pt>
                <c:pt idx="307">
                  <c:v>2057</c:v>
                </c:pt>
                <c:pt idx="308">
                  <c:v>2058</c:v>
                </c:pt>
                <c:pt idx="309">
                  <c:v>2059</c:v>
                </c:pt>
                <c:pt idx="310">
                  <c:v>2060</c:v>
                </c:pt>
                <c:pt idx="311">
                  <c:v>2061</c:v>
                </c:pt>
                <c:pt idx="312">
                  <c:v>2062</c:v>
                </c:pt>
                <c:pt idx="313">
                  <c:v>2063</c:v>
                </c:pt>
                <c:pt idx="314">
                  <c:v>2064</c:v>
                </c:pt>
                <c:pt idx="315">
                  <c:v>2065</c:v>
                </c:pt>
                <c:pt idx="316">
                  <c:v>2066</c:v>
                </c:pt>
                <c:pt idx="317">
                  <c:v>2067</c:v>
                </c:pt>
                <c:pt idx="318">
                  <c:v>2068</c:v>
                </c:pt>
                <c:pt idx="319">
                  <c:v>2069</c:v>
                </c:pt>
                <c:pt idx="320">
                  <c:v>2070</c:v>
                </c:pt>
                <c:pt idx="321">
                  <c:v>2071</c:v>
                </c:pt>
                <c:pt idx="322">
                  <c:v>2072</c:v>
                </c:pt>
                <c:pt idx="323">
                  <c:v>2073</c:v>
                </c:pt>
                <c:pt idx="324">
                  <c:v>2074</c:v>
                </c:pt>
                <c:pt idx="325">
                  <c:v>2075</c:v>
                </c:pt>
                <c:pt idx="326">
                  <c:v>2076</c:v>
                </c:pt>
                <c:pt idx="327">
                  <c:v>2077</c:v>
                </c:pt>
                <c:pt idx="328">
                  <c:v>2078</c:v>
                </c:pt>
                <c:pt idx="329">
                  <c:v>2079</c:v>
                </c:pt>
                <c:pt idx="330">
                  <c:v>2080</c:v>
                </c:pt>
                <c:pt idx="331">
                  <c:v>2081</c:v>
                </c:pt>
                <c:pt idx="332">
                  <c:v>2082</c:v>
                </c:pt>
                <c:pt idx="333">
                  <c:v>2083</c:v>
                </c:pt>
                <c:pt idx="334">
                  <c:v>2084</c:v>
                </c:pt>
                <c:pt idx="335">
                  <c:v>2085</c:v>
                </c:pt>
                <c:pt idx="336">
                  <c:v>2086</c:v>
                </c:pt>
                <c:pt idx="337">
                  <c:v>2087</c:v>
                </c:pt>
                <c:pt idx="338">
                  <c:v>2088</c:v>
                </c:pt>
                <c:pt idx="339">
                  <c:v>2089</c:v>
                </c:pt>
                <c:pt idx="340">
                  <c:v>2090</c:v>
                </c:pt>
                <c:pt idx="341">
                  <c:v>2091</c:v>
                </c:pt>
                <c:pt idx="342">
                  <c:v>2092</c:v>
                </c:pt>
                <c:pt idx="343">
                  <c:v>2093</c:v>
                </c:pt>
                <c:pt idx="344">
                  <c:v>2094</c:v>
                </c:pt>
                <c:pt idx="345">
                  <c:v>2095</c:v>
                </c:pt>
                <c:pt idx="346">
                  <c:v>2096</c:v>
                </c:pt>
                <c:pt idx="347">
                  <c:v>2097</c:v>
                </c:pt>
                <c:pt idx="348">
                  <c:v>2098</c:v>
                </c:pt>
                <c:pt idx="349">
                  <c:v>2099</c:v>
                </c:pt>
                <c:pt idx="350">
                  <c:v>2100</c:v>
                </c:pt>
              </c:numCache>
            </c:numRef>
          </c:cat>
          <c:val>
            <c:numRef>
              <c:f>modello!$AG$4:$AG$354</c:f>
              <c:numCache>
                <c:ptCount val="351"/>
                <c:pt idx="0">
                  <c:v>0</c:v>
                </c:pt>
                <c:pt idx="1">
                  <c:v>-0.013767803395963042</c:v>
                </c:pt>
                <c:pt idx="2">
                  <c:v>-0.025769332857886254</c:v>
                </c:pt>
                <c:pt idx="3">
                  <c:v>-0.03616751576646821</c:v>
                </c:pt>
                <c:pt idx="4">
                  <c:v>-0.04511738608742294</c:v>
                </c:pt>
                <c:pt idx="5">
                  <c:v>-0.05276491635933199</c:v>
                </c:pt>
                <c:pt idx="6">
                  <c:v>-0.059246233374034965</c:v>
                </c:pt>
                <c:pt idx="7">
                  <c:v>-0.06468718448997472</c:v>
                </c:pt>
                <c:pt idx="8">
                  <c:v>-0.06920320866074607</c:v>
                </c:pt>
                <c:pt idx="9">
                  <c:v>-0.07289945977646735</c:v>
                </c:pt>
                <c:pt idx="10">
                  <c:v>-0.07587112869461443</c:v>
                </c:pt>
                <c:pt idx="11">
                  <c:v>-0.0782039130158373</c:v>
                </c:pt>
                <c:pt idx="12">
                  <c:v>-0.07997458888505063</c:v>
                </c:pt>
                <c:pt idx="13">
                  <c:v>-0.08125164569155059</c:v>
                </c:pt>
                <c:pt idx="14">
                  <c:v>-0.08209595158263262</c:v>
                </c:pt>
                <c:pt idx="15">
                  <c:v>-0.08256142454083727</c:v>
                </c:pt>
                <c:pt idx="16">
                  <c:v>-0.08269568999467937</c:v>
                </c:pt>
                <c:pt idx="17">
                  <c:v>-0.0825407113200488</c:v>
                </c:pt>
                <c:pt idx="18">
                  <c:v>-0.082133384070583</c:v>
                </c:pt>
                <c:pt idx="19">
                  <c:v>-0.08150608837190712</c:v>
                </c:pt>
                <c:pt idx="20">
                  <c:v>-0.08068719670549605</c:v>
                </c:pt>
                <c:pt idx="21">
                  <c:v>-0.07970153640026076</c:v>
                </c:pt>
                <c:pt idx="22">
                  <c:v>-0.0785708076596705</c:v>
                </c:pt>
                <c:pt idx="23">
                  <c:v>-0.07731395899138652</c:v>
                </c:pt>
                <c:pt idx="24">
                  <c:v>-0.07594752257628212</c:v>
                </c:pt>
                <c:pt idx="25">
                  <c:v>-0.07448591250163823</c:v>
                </c:pt>
                <c:pt idx="26">
                  <c:v>-0.07294168896178535</c:v>
                </c:pt>
                <c:pt idx="27">
                  <c:v>-0.07132579155710592</c:v>
                </c:pt>
                <c:pt idx="28">
                  <c:v>-0.06964774474523502</c:v>
                </c:pt>
                <c:pt idx="29">
                  <c:v>-0.06791583835203373</c:v>
                </c:pt>
                <c:pt idx="30">
                  <c:v>-0.06613728586117723</c:v>
                </c:pt>
                <c:pt idx="31">
                  <c:v>-0.06431836298969727</c:v>
                </c:pt>
                <c:pt idx="32">
                  <c:v>-0.06246452883665773</c:v>
                </c:pt>
                <c:pt idx="33">
                  <c:v>-0.06058053167317352</c:v>
                </c:pt>
                <c:pt idx="34">
                  <c:v>-0.058670501230778924</c:v>
                </c:pt>
                <c:pt idx="35">
                  <c:v>-0.05673802914588161</c:v>
                </c:pt>
                <c:pt idx="36">
                  <c:v>-0.05478623903310064</c:v>
                </c:pt>
                <c:pt idx="37">
                  <c:v>-0.052817847490799104</c:v>
                </c:pt>
                <c:pt idx="38">
                  <c:v>-0.050835217188341865</c:v>
                </c:pt>
                <c:pt idx="39">
                  <c:v>-0.048840403046174694</c:v>
                </c:pt>
                <c:pt idx="40">
                  <c:v>-0.04683519239601433</c:v>
                </c:pt>
                <c:pt idx="41">
                  <c:v>-0.044821139898277816</c:v>
                </c:pt>
                <c:pt idx="42">
                  <c:v>-0.04279959789629853</c:v>
                </c:pt>
                <c:pt idx="43">
                  <c:v>-0.04077174280073637</c:v>
                </c:pt>
                <c:pt idx="44">
                  <c:v>-0.0387385980217885</c:v>
                </c:pt>
                <c:pt idx="45">
                  <c:v>-0.03670105390025249</c:v>
                </c:pt>
                <c:pt idx="46">
                  <c:v>-0.034659885030194786</c:v>
                </c:pt>
                <c:pt idx="47">
                  <c:v>-0.0326157653149924</c:v>
                </c:pt>
                <c:pt idx="48">
                  <c:v>-0.03056928105398836</c:v>
                </c:pt>
                <c:pt idx="49">
                  <c:v>-0.028520942318168308</c:v>
                </c:pt>
                <c:pt idx="50">
                  <c:v>-0.026471192839426092</c:v>
                </c:pt>
                <c:pt idx="51">
                  <c:v>-0.024420418608528362</c:v>
                </c:pt>
                <c:pt idx="52">
                  <c:v>-0.022368320230866174</c:v>
                </c:pt>
                <c:pt idx="53">
                  <c:v>-0.020315267620068852</c:v>
                </c:pt>
                <c:pt idx="54">
                  <c:v>-0.01826158261585287</c:v>
                </c:pt>
                <c:pt idx="55">
                  <c:v>-0.01620754518767616</c:v>
                </c:pt>
                <c:pt idx="56">
                  <c:v>-0.014153398832214463</c:v>
                </c:pt>
                <c:pt idx="57">
                  <c:v>-0.012099355270112766</c:v>
                </c:pt>
                <c:pt idx="58">
                  <c:v>-0.01004559853360986</c:v>
                </c:pt>
                <c:pt idx="59">
                  <c:v>-0.007992288524599715</c:v>
                </c:pt>
                <c:pt idx="60">
                  <c:v>-0.005939564112240802</c:v>
                </c:pt>
                <c:pt idx="61">
                  <c:v>-0.0038875458301532</c:v>
                </c:pt>
                <c:pt idx="62">
                  <c:v>-0.0018363382253627945</c:v>
                </c:pt>
                <c:pt idx="63">
                  <c:v>0.00021396809568928176</c:v>
                </c:pt>
                <c:pt idx="64">
                  <c:v>0.002263294684689839</c:v>
                </c:pt>
                <c:pt idx="65">
                  <c:v>0.004311573698327236</c:v>
                </c:pt>
                <c:pt idx="66">
                  <c:v>0.006358746544748953</c:v>
                </c:pt>
                <c:pt idx="67">
                  <c:v>0.008404762703744125</c:v>
                </c:pt>
                <c:pt idx="68">
                  <c:v>0.010449578698169844</c:v>
                </c:pt>
                <c:pt idx="69">
                  <c:v>0.01249315719707178</c:v>
                </c:pt>
                <c:pt idx="70">
                  <c:v>0.014535466233498353</c:v>
                </c:pt>
                <c:pt idx="71">
                  <c:v>0.016576478522217313</c:v>
                </c:pt>
                <c:pt idx="72">
                  <c:v>0.018616170864470417</c:v>
                </c:pt>
                <c:pt idx="73">
                  <c:v>0.020654523628570672</c:v>
                </c:pt>
                <c:pt idx="74">
                  <c:v>0.022691520296597215</c:v>
                </c:pt>
                <c:pt idx="75">
                  <c:v>0.02472714706870994</c:v>
                </c:pt>
                <c:pt idx="76">
                  <c:v>0.026761392517696887</c:v>
                </c:pt>
                <c:pt idx="77">
                  <c:v>0.028794247287327976</c:v>
                </c:pt>
                <c:pt idx="78">
                  <c:v>0.030825703828914225</c:v>
                </c:pt>
                <c:pt idx="79">
                  <c:v>0.03285575617119491</c:v>
                </c:pt>
                <c:pt idx="80">
                  <c:v>0.03488439971930474</c:v>
                </c:pt>
                <c:pt idx="81">
                  <c:v>0.03691163107911533</c:v>
                </c:pt>
                <c:pt idx="82">
                  <c:v>0.03893744790372733</c:v>
                </c:pt>
                <c:pt idx="83">
                  <c:v>0.0409618487592958</c:v>
                </c:pt>
                <c:pt idx="84">
                  <c:v>0.042984833007739164</c:v>
                </c:pt>
                <c:pt idx="85">
                  <c:v>0.04500640070419079</c:v>
                </c:pt>
                <c:pt idx="86">
                  <c:v>0.047026552507328526</c:v>
                </c:pt>
                <c:pt idx="87">
                  <c:v>0.049045289600953716</c:v>
                </c:pt>
                <c:pt idx="88">
                  <c:v>0.051062613625400315</c:v>
                </c:pt>
                <c:pt idx="89">
                  <c:v>0.05307852661753473</c:v>
                </c:pt>
                <c:pt idx="90">
                  <c:v>0.05509303095826358</c:v>
                </c:pt>
                <c:pt idx="91">
                  <c:v>0.057106129326607</c:v>
                </c:pt>
                <c:pt idx="92">
                  <c:v>0.059117824659510654</c:v>
                </c:pt>
                <c:pt idx="93">
                  <c:v>0.06112812011667822</c:v>
                </c:pt>
                <c:pt idx="94">
                  <c:v>0.06313701904979341</c:v>
                </c:pt>
                <c:pt idx="95">
                  <c:v>0.06514452497558412</c:v>
                </c:pt>
                <c:pt idx="96">
                  <c:v>0.06715064155224695</c:v>
                </c:pt>
                <c:pt idx="97">
                  <c:v>0.0691553725588122</c:v>
                </c:pt>
                <c:pt idx="98">
                  <c:v>0.07115872187708369</c:v>
                </c:pt>
                <c:pt idx="99">
                  <c:v>0.0731606934758327</c:v>
                </c:pt>
                <c:pt idx="100">
                  <c:v>0.07516129139696323</c:v>
                </c:pt>
                <c:pt idx="101">
                  <c:v>0.07716051974340687</c:v>
                </c:pt>
                <c:pt idx="102">
                  <c:v>0.07918208414509167</c:v>
                </c:pt>
                <c:pt idx="103">
                  <c:v>0.08122324170126911</c:v>
                </c:pt>
                <c:pt idx="104">
                  <c:v>0.08328158031796375</c:v>
                </c:pt>
                <c:pt idx="105">
                  <c:v>0.08535497867262937</c:v>
                </c:pt>
                <c:pt idx="106">
                  <c:v>0.08744157102028267</c:v>
                </c:pt>
                <c:pt idx="107">
                  <c:v>0.08953971626204321</c:v>
                </c:pt>
                <c:pt idx="108">
                  <c:v>0.091647970764091</c:v>
                </c:pt>
                <c:pt idx="109">
                  <c:v>0.09376506447497143</c:v>
                </c:pt>
                <c:pt idx="110">
                  <c:v>0.09588987994252261</c:v>
                </c:pt>
                <c:pt idx="111">
                  <c:v>0.09802143387909268</c:v>
                </c:pt>
                <c:pt idx="112">
                  <c:v>0.10015886096571158</c:v>
                </c:pt>
                <c:pt idx="113">
                  <c:v>0.10230139962305201</c:v>
                </c:pt>
                <c:pt idx="114">
                  <c:v>0.10444837950983808</c:v>
                </c:pt>
                <c:pt idx="115">
                  <c:v>0.10659921053833407</c:v>
                </c:pt>
                <c:pt idx="116">
                  <c:v>0.10875337322207486</c:v>
                </c:pt>
                <c:pt idx="117">
                  <c:v>0.11091041019348126</c:v>
                </c:pt>
                <c:pt idx="118">
                  <c:v>0.1130699187487861</c:v>
                </c:pt>
                <c:pt idx="119">
                  <c:v>0.11523154429509225</c:v>
                </c:pt>
                <c:pt idx="120">
                  <c:v>0.11739497458966924</c:v>
                </c:pt>
                <c:pt idx="121">
                  <c:v>0.11955993467502667</c:v>
                </c:pt>
                <c:pt idx="122">
                  <c:v>0.12172618242509625</c:v>
                </c:pt>
                <c:pt idx="123">
                  <c:v>0.12389350462820616</c:v>
                </c:pt>
                <c:pt idx="124">
                  <c:v>0.1260617135416206</c:v>
                </c:pt>
                <c:pt idx="125">
                  <c:v>0.12823064386039099</c:v>
                </c:pt>
                <c:pt idx="126">
                  <c:v>0.1304001500502636</c:v>
                </c:pt>
                <c:pt idx="127">
                  <c:v>0.13257010400052688</c:v>
                </c:pt>
                <c:pt idx="128">
                  <c:v>0.1347403929580693</c:v>
                </c:pt>
                <c:pt idx="129">
                  <c:v>0.13691091770864136</c:v>
                </c:pt>
                <c:pt idx="130">
                  <c:v>0.13908159097546424</c:v>
                </c:pt>
                <c:pt idx="131">
                  <c:v>0.14125233600896192</c:v>
                </c:pt>
                <c:pt idx="132">
                  <c:v>0.14342308534458587</c:v>
                </c:pt>
                <c:pt idx="133">
                  <c:v>0.14559377970850199</c:v>
                </c:pt>
                <c:pt idx="134">
                  <c:v>0.14776436705336565</c:v>
                </c:pt>
                <c:pt idx="135">
                  <c:v>0.1499348017085659</c:v>
                </c:pt>
                <c:pt idx="136">
                  <c:v>0.15210504363121602</c:v>
                </c:pt>
                <c:pt idx="137">
                  <c:v>0.15427505774582564</c:v>
                </c:pt>
                <c:pt idx="138">
                  <c:v>0.1564448133620484</c:v>
                </c:pt>
                <c:pt idx="139">
                  <c:v>0.1586142836611817</c:v>
                </c:pt>
                <c:pt idx="140">
                  <c:v>0.16078344524321775</c:v>
                </c:pt>
                <c:pt idx="141">
                  <c:v>0.16295227772723508</c:v>
                </c:pt>
                <c:pt idx="142">
                  <c:v>0.165120763398783</c:v>
                </c:pt>
                <c:pt idx="143">
                  <c:v>0.16728888689867877</c:v>
                </c:pt>
                <c:pt idx="144">
                  <c:v>0.16945663494830485</c:v>
                </c:pt>
                <c:pt idx="145">
                  <c:v>0.1716239961070806</c:v>
                </c:pt>
                <c:pt idx="146">
                  <c:v>0.17379096055830415</c:v>
                </c:pt>
                <c:pt idx="147">
                  <c:v>0.17595751992000952</c:v>
                </c:pt>
                <c:pt idx="148">
                  <c:v>0.17812366707789248</c:v>
                </c:pt>
                <c:pt idx="149">
                  <c:v>0.1802893960377</c:v>
                </c:pt>
                <c:pt idx="150">
                  <c:v>0.18245470179479584</c:v>
                </c:pt>
                <c:pt idx="151">
                  <c:v>0.18461958021888492</c:v>
                </c:pt>
                <c:pt idx="152">
                  <c:v>0.18682209835286143</c:v>
                </c:pt>
                <c:pt idx="153">
                  <c:v>0.1890581105041824</c:v>
                </c:pt>
                <c:pt idx="154">
                  <c:v>0.19132394109251394</c:v>
                </c:pt>
                <c:pt idx="155">
                  <c:v>0.19361633113624588</c:v>
                </c:pt>
                <c:pt idx="156">
                  <c:v>0.19593239079980768</c:v>
                </c:pt>
                <c:pt idx="157">
                  <c:v>0.1982695573309719</c:v>
                </c:pt>
                <c:pt idx="158">
                  <c:v>0.20062555778709218</c:v>
                </c:pt>
                <c:pt idx="159">
                  <c:v>0.20299837601286183</c:v>
                </c:pt>
                <c:pt idx="160">
                  <c:v>0.2053862233899652</c:v>
                </c:pt>
                <c:pt idx="161">
                  <c:v>0.20778751293122297</c:v>
                </c:pt>
                <c:pt idx="162">
                  <c:v>0.2102008363388846</c:v>
                </c:pt>
                <c:pt idx="163">
                  <c:v>0.2126249436889736</c:v>
                </c:pt>
                <c:pt idx="164">
                  <c:v>0.21505872544143267</c:v>
                </c:pt>
                <c:pt idx="165">
                  <c:v>0.2175011965096411</c:v>
                </c:pt>
                <c:pt idx="166">
                  <c:v>0.21995148215305876</c:v>
                </c:pt>
                <c:pt idx="167">
                  <c:v>0.22240880548361786</c:v>
                </c:pt>
                <c:pt idx="168">
                  <c:v>0.22487247640040012</c:v>
                </c:pt>
                <c:pt idx="169">
                  <c:v>0.2273418817883774</c:v>
                </c:pt>
                <c:pt idx="170">
                  <c:v>0.22981647683584333</c:v>
                </c:pt>
                <c:pt idx="171">
                  <c:v>0.23229577734189616</c:v>
                </c:pt>
                <c:pt idx="172">
                  <c:v>0.23477935290014065</c:v>
                </c:pt>
                <c:pt idx="173">
                  <c:v>0.2372668208579201</c:v>
                </c:pt>
                <c:pt idx="174">
                  <c:v>0.23975784096200073</c:v>
                </c:pt>
                <c:pt idx="175">
                  <c:v>0.24225211061192284</c:v>
                </c:pt>
                <c:pt idx="176">
                  <c:v>0.24474936065133074</c:v>
                </c:pt>
                <c:pt idx="177">
                  <c:v>0.24724935163564787</c:v>
                </c:pt>
                <c:pt idx="178">
                  <c:v>0.2497518705215748</c:v>
                </c:pt>
                <c:pt idx="179">
                  <c:v>0.2522567277301856</c:v>
                </c:pt>
                <c:pt idx="180">
                  <c:v>0.25476375454096195</c:v>
                </c:pt>
                <c:pt idx="181">
                  <c:v>0.257272800779023</c:v>
                </c:pt>
                <c:pt idx="182">
                  <c:v>0.25978373276215605</c:v>
                </c:pt>
                <c:pt idx="183">
                  <c:v>0.26229643147809667</c:v>
                </c:pt>
                <c:pt idx="184">
                  <c:v>0.26481079096590804</c:v>
                </c:pt>
                <c:pt idx="185">
                  <c:v>0.2673267168783115</c:v>
                </c:pt>
                <c:pt idx="186">
                  <c:v>0.269844125204471</c:v>
                </c:pt>
                <c:pt idx="187">
                  <c:v>0.27236294113509285</c:v>
                </c:pt>
                <c:pt idx="188">
                  <c:v>0.27488309805377137</c:v>
                </c:pt>
                <c:pt idx="189">
                  <c:v>0.2774045366403453</c:v>
                </c:pt>
                <c:pt idx="190">
                  <c:v>0.2799272040736636</c:v>
                </c:pt>
                <c:pt idx="191">
                  <c:v>0.2824510533225866</c:v>
                </c:pt>
                <c:pt idx="192">
                  <c:v>0.284976042515324</c:v>
                </c:pt>
                <c:pt idx="193">
                  <c:v>0.28750213437833727</c:v>
                </c:pt>
                <c:pt idx="194">
                  <c:v>0.2900292957370259</c:v>
                </c:pt>
                <c:pt idx="195">
                  <c:v>0.2925574970713021</c:v>
                </c:pt>
                <c:pt idx="196">
                  <c:v>0.2950867121199341</c:v>
                </c:pt>
                <c:pt idx="197">
                  <c:v>0.2976169175282357</c:v>
                </c:pt>
                <c:pt idx="198">
                  <c:v>0.30014809253428365</c:v>
                </c:pt>
                <c:pt idx="199">
                  <c:v>0.302680218689393</c:v>
                </c:pt>
                <c:pt idx="200">
                  <c:v>0.30521327960905703</c:v>
                </c:pt>
                <c:pt idx="201">
                  <c:v>0.30774726075098596</c:v>
                </c:pt>
                <c:pt idx="202">
                  <c:v>0.31053230836813633</c:v>
                </c:pt>
                <c:pt idx="203">
                  <c:v>0.3135425251007634</c:v>
                </c:pt>
                <c:pt idx="204">
                  <c:v>0.3167546524221651</c:v>
                </c:pt>
                <c:pt idx="205">
                  <c:v>0.32014781692350675</c:v>
                </c:pt>
                <c:pt idx="206">
                  <c:v>0.32370329717790386</c:v>
                </c:pt>
                <c:pt idx="207">
                  <c:v>0.3274043104211336</c:v>
                </c:pt>
                <c:pt idx="208">
                  <c:v>0.3312358180745691</c:v>
                </c:pt>
                <c:pt idx="209">
                  <c:v>0.33518434900120014</c:v>
                </c:pt>
                <c:pt idx="210">
                  <c:v>0.33923783931102347</c:v>
                </c:pt>
                <c:pt idx="211">
                  <c:v>0.34338548750356607</c:v>
                </c:pt>
                <c:pt idx="212">
                  <c:v>0.34761762374113186</c:v>
                </c:pt>
                <c:pt idx="213">
                  <c:v>0.35192559207716995</c:v>
                </c:pt>
                <c:pt idx="214">
                  <c:v>0.35630164451238644</c:v>
                </c:pt>
                <c:pt idx="215">
                  <c:v>0.36073884581096255</c:v>
                </c:pt>
                <c:pt idx="216">
                  <c:v>0.36523098807594667</c:v>
                </c:pt>
                <c:pt idx="217">
                  <c:v>0.36977251415305395</c:v>
                </c:pt>
                <c:pt idx="218">
                  <c:v>0.37435844900318055</c:v>
                </c:pt>
                <c:pt idx="219">
                  <c:v>0.3789843382540039</c:v>
                </c:pt>
                <c:pt idx="220">
                  <c:v>0.38364619320881127</c:v>
                </c:pt>
                <c:pt idx="221">
                  <c:v>0.3883404416552382</c:v>
                </c:pt>
                <c:pt idx="222">
                  <c:v>0.39306388387738556</c:v>
                </c:pt>
                <c:pt idx="223">
                  <c:v>0.3978136533314725</c:v>
                </c:pt>
                <c:pt idx="224">
                  <c:v>0.40258718149768047</c:v>
                </c:pt>
                <c:pt idx="225">
                  <c:v>0.4073821664691267</c:v>
                </c:pt>
                <c:pt idx="226">
                  <c:v>0.41219654488311486</c:v>
                </c:pt>
                <c:pt idx="227">
                  <c:v>0.41703486576547566</c:v>
                </c:pt>
                <c:pt idx="228">
                  <c:v>0.4218948665271386</c:v>
                </c:pt>
                <c:pt idx="229">
                  <c:v>0.4267745173644612</c:v>
                </c:pt>
                <c:pt idx="230">
                  <c:v>0.4316719970790258</c:v>
                </c:pt>
                <c:pt idx="231">
                  <c:v>0.4365856712966983</c:v>
                </c:pt>
                <c:pt idx="232">
                  <c:v>0.44151407299322554</c:v>
                </c:pt>
                <c:pt idx="233">
                  <c:v>0.4464558850807766</c:v>
                </c:pt>
                <c:pt idx="234">
                  <c:v>0.4514099248356888</c:v>
                </c:pt>
                <c:pt idx="235">
                  <c:v>0.4563751299709472</c:v>
                </c:pt>
                <c:pt idx="236">
                  <c:v>0.4613505461778027</c:v>
                </c:pt>
                <c:pt idx="237">
                  <c:v>0.4663353159796713</c:v>
                </c:pt>
                <c:pt idx="238">
                  <c:v>0.47132866875822627</c:v>
                </c:pt>
                <c:pt idx="239">
                  <c:v>0.47632991182661666</c:v>
                </c:pt>
                <c:pt idx="240">
                  <c:v>0.48129117030195356</c:v>
                </c:pt>
                <c:pt idx="241">
                  <c:v>0.48621610426374295</c:v>
                </c:pt>
                <c:pt idx="242">
                  <c:v>0.49110806291571474</c:v>
                </c:pt>
                <c:pt idx="243">
                  <c:v>0.4959700676321707</c:v>
                </c:pt>
                <c:pt idx="244">
                  <c:v>0.5008015547363479</c:v>
                </c:pt>
                <c:pt idx="245">
                  <c:v>0.5056085707540394</c:v>
                </c:pt>
                <c:pt idx="246">
                  <c:v>0.5103900182202069</c:v>
                </c:pt>
                <c:pt idx="247">
                  <c:v>0.5151547628507628</c:v>
                </c:pt>
                <c:pt idx="248">
                  <c:v>0.5199009838315897</c:v>
                </c:pt>
                <c:pt idx="249">
                  <c:v>0.5246303060332193</c:v>
                </c:pt>
                <c:pt idx="250">
                  <c:v>0.5292410151947627</c:v>
                </c:pt>
                <c:pt idx="251">
                  <c:v>0.5339547914977497</c:v>
                </c:pt>
                <c:pt idx="252">
                  <c:v>0.5382523915281917</c:v>
                </c:pt>
                <c:pt idx="253">
                  <c:v>0.5421721945510569</c:v>
                </c:pt>
                <c:pt idx="254">
                  <c:v>0.5457487623918672</c:v>
                </c:pt>
                <c:pt idx="255">
                  <c:v>0.5490132665097837</c:v>
                </c:pt>
                <c:pt idx="256">
                  <c:v>0.5519938593128759</c:v>
                </c:pt>
                <c:pt idx="257">
                  <c:v>0.5547159983108251</c:v>
                </c:pt>
                <c:pt idx="258">
                  <c:v>0.5572027301608058</c:v>
                </c:pt>
                <c:pt idx="259">
                  <c:v>0.5594749404347944</c:v>
                </c:pt>
                <c:pt idx="260">
                  <c:v>0.5615515739510619</c:v>
                </c:pt>
                <c:pt idx="261">
                  <c:v>0.5634498297162959</c:v>
                </c:pt>
                <c:pt idx="262">
                  <c:v>0.5651853338773755</c:v>
                </c:pt>
                <c:pt idx="263">
                  <c:v>0.5667722935523682</c:v>
                </c:pt>
                <c:pt idx="264">
                  <c:v>0.5682236339749515</c:v>
                </c:pt>
                <c:pt idx="265">
                  <c:v>0.5695511210265408</c:v>
                </c:pt>
                <c:pt idx="266">
                  <c:v>0.5707654709313604</c:v>
                </c:pt>
                <c:pt idx="267">
                  <c:v>0.5718764486400265</c:v>
                </c:pt>
                <c:pt idx="268">
                  <c:v>0.5728929562177932</c:v>
                </c:pt>
                <c:pt idx="269">
                  <c:v>0.573823112377173</c:v>
                </c:pt>
                <c:pt idx="270">
                  <c:v>0.5746743241453586</c:v>
                </c:pt>
                <c:pt idx="271">
                  <c:v>0.5754533515300359</c:v>
                </c:pt>
                <c:pt idx="272">
                  <c:v>0.5761663659389873</c:v>
                </c:pt>
                <c:pt idx="273">
                  <c:v>0.5768190030162541</c:v>
                </c:pt>
                <c:pt idx="274">
                  <c:v>0.5774164104780216</c:v>
                </c:pt>
                <c:pt idx="275">
                  <c:v>0.5779632914627312</c:v>
                </c:pt>
                <c:pt idx="276">
                  <c:v>0.5784639438505264</c:v>
                </c:pt>
                <c:pt idx="277">
                  <c:v>0.5789222959555571</c:v>
                </c:pt>
                <c:pt idx="278">
                  <c:v>0.5793419389497563</c:v>
                </c:pt>
                <c:pt idx="279">
                  <c:v>0.579726156337467</c:v>
                </c:pt>
                <c:pt idx="280">
                  <c:v>0.5800779507659393</c:v>
                </c:pt>
                <c:pt idx="281">
                  <c:v>0.5804000684265129</c:v>
                </c:pt>
                <c:pt idx="282">
                  <c:v>0.5806950212747295</c:v>
                </c:pt>
                <c:pt idx="283">
                  <c:v>0.5809651072741334</c:v>
                </c:pt>
                <c:pt idx="284">
                  <c:v>0.5812124288477467</c:v>
                </c:pt>
                <c:pt idx="285">
                  <c:v>0.5814389097027766</c:v>
                </c:pt>
                <c:pt idx="286">
                  <c:v>0.5816463101777279</c:v>
                </c:pt>
                <c:pt idx="287">
                  <c:v>0.5818362412465059</c:v>
                </c:pt>
                <c:pt idx="288">
                  <c:v>0.582010177301062</c:v>
                </c:pt>
                <c:pt idx="289">
                  <c:v>0.582169467822504</c:v>
                </c:pt>
                <c:pt idx="290">
                  <c:v>0.5823153480401493</c:v>
                </c:pt>
                <c:pt idx="291">
                  <c:v>0.582448948668655</c:v>
                </c:pt>
                <c:pt idx="292">
                  <c:v>0.5825713048049519</c:v>
                </c:pt>
                <c:pt idx="293">
                  <c:v>0.5826833640591399</c:v>
                </c:pt>
                <c:pt idx="294">
                  <c:v>0.582785993986704</c:v>
                </c:pt>
                <c:pt idx="295">
                  <c:v>0.5828799888832509</c:v>
                </c:pt>
                <c:pt idx="296">
                  <c:v>0.5829660759974274</c:v>
                </c:pt>
                <c:pt idx="297">
                  <c:v>0.5830449212126627</c:v>
                </c:pt>
                <c:pt idx="298">
                  <c:v>0.5831171342438338</c:v>
                </c:pt>
                <c:pt idx="299">
                  <c:v>0.583183273390848</c:v>
                </c:pt>
                <c:pt idx="300">
                  <c:v>0.5832438498874013</c:v>
                </c:pt>
                <c:pt idx="301">
                  <c:v>0.5832993318797997</c:v>
                </c:pt>
                <c:pt idx="302">
                  <c:v>0.5833501480676464</c:v>
                </c:pt>
                <c:pt idx="303">
                  <c:v>0.5833966910354246</c:v>
                </c:pt>
                <c:pt idx="304">
                  <c:v>0.5834393203014497</c:v>
                </c:pt>
                <c:pt idx="305">
                  <c:v>0.5834783651083778</c:v>
                </c:pt>
                <c:pt idx="306">
                  <c:v>0.5835141269773381</c:v>
                </c:pt>
                <c:pt idx="307">
                  <c:v>0.5835468820458573</c:v>
                </c:pt>
                <c:pt idx="308">
                  <c:v>0.5835768832079953</c:v>
                </c:pt>
                <c:pt idx="309">
                  <c:v>0.5836043620735263</c:v>
                </c:pt>
                <c:pt idx="310">
                  <c:v>0.583629530761544</c:v>
                </c:pt>
                <c:pt idx="311">
                  <c:v>0.5836525835425603</c:v>
                </c:pt>
                <c:pt idx="312">
                  <c:v>0.5836736983419499</c:v>
                </c:pt>
                <c:pt idx="313">
                  <c:v>0.583693038116498</c:v>
                </c:pt>
                <c:pt idx="314">
                  <c:v>0.5837107521148048</c:v>
                </c:pt>
                <c:pt idx="315">
                  <c:v>0.5837269770313788</c:v>
                </c:pt>
                <c:pt idx="316">
                  <c:v>0.5837418380634146</c:v>
                </c:pt>
                <c:pt idx="317">
                  <c:v>0.5837554498784898</c:v>
                </c:pt>
                <c:pt idx="318">
                  <c:v>0.5837679175007031</c:v>
                </c:pt>
                <c:pt idx="319">
                  <c:v>0.5837793371221509</c:v>
                </c:pt>
                <c:pt idx="320">
                  <c:v>0.5837897968460453</c:v>
                </c:pt>
                <c:pt idx="321">
                  <c:v>0.5837993773672419</c:v>
                </c:pt>
                <c:pt idx="322">
                  <c:v>0.5838081525954644</c:v>
                </c:pt>
                <c:pt idx="323">
                  <c:v>0.5838161902260534</c:v>
                </c:pt>
                <c:pt idx="324">
                  <c:v>0.5838235522626698</c:v>
                </c:pt>
                <c:pt idx="325">
                  <c:v>0.5838302954960013</c:v>
                </c:pt>
                <c:pt idx="326">
                  <c:v>0.5838364719421805</c:v>
                </c:pt>
                <c:pt idx="327">
                  <c:v>0.5838421292443091</c:v>
                </c:pt>
                <c:pt idx="328">
                  <c:v>0.5838473110401975</c:v>
                </c:pt>
                <c:pt idx="329">
                  <c:v>0.583852057299164</c:v>
                </c:pt>
                <c:pt idx="330">
                  <c:v>0.5838564046305019</c:v>
                </c:pt>
                <c:pt idx="331">
                  <c:v>0.5838603865659949</c:v>
                </c:pt>
                <c:pt idx="332">
                  <c:v>0.5838640338186734</c:v>
                </c:pt>
                <c:pt idx="333">
                  <c:v>0.5838673745198024</c:v>
                </c:pt>
                <c:pt idx="334">
                  <c:v>0.5838704344359427</c:v>
                </c:pt>
                <c:pt idx="335">
                  <c:v>0.5838732371677526</c:v>
                </c:pt>
                <c:pt idx="336">
                  <c:v>0.5838758043320765</c:v>
                </c:pt>
                <c:pt idx="337">
                  <c:v>0.583878155728718</c:v>
                </c:pt>
                <c:pt idx="338">
                  <c:v>0.583880309493191</c:v>
                </c:pt>
                <c:pt idx="339">
                  <c:v>0.5838822822366273</c:v>
                </c:pt>
                <c:pt idx="340">
                  <c:v>0.5838840891739197</c:v>
                </c:pt>
                <c:pt idx="341">
                  <c:v>0.5838857442410922</c:v>
                </c:pt>
                <c:pt idx="342">
                  <c:v>0.583887260202802</c:v>
                </c:pt>
                <c:pt idx="343">
                  <c:v>0.5838886487508035</c:v>
                </c:pt>
                <c:pt idx="344">
                  <c:v>0.5838899205941332</c:v>
                </c:pt>
                <c:pt idx="345">
                  <c:v>0.5838910855417161</c:v>
                </c:pt>
                <c:pt idx="346">
                  <c:v>0.583892152578024</c:v>
                </c:pt>
                <c:pt idx="347">
                  <c:v>0.5838931299323763</c:v>
                </c:pt>
                <c:pt idx="348">
                  <c:v>0.5838940251424128</c:v>
                </c:pt>
                <c:pt idx="349">
                  <c:v>0.5838948451122339</c:v>
                </c:pt>
                <c:pt idx="350">
                  <c:v>0.5838955961656503</c:v>
                </c:pt>
              </c:numCache>
            </c:numRef>
          </c:val>
          <c:smooth val="0"/>
        </c:ser>
        <c:ser>
          <c:idx val="4"/>
          <c:order val="3"/>
          <c:tx>
            <c:v>RF N2O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modello!$F$4:$F$354</c:f>
              <c:numCache>
                <c:ptCount val="351"/>
                <c:pt idx="0">
                  <c:v>1750</c:v>
                </c:pt>
                <c:pt idx="1">
                  <c:v>1751</c:v>
                </c:pt>
                <c:pt idx="2">
                  <c:v>1752</c:v>
                </c:pt>
                <c:pt idx="3">
                  <c:v>1753</c:v>
                </c:pt>
                <c:pt idx="4">
                  <c:v>1754</c:v>
                </c:pt>
                <c:pt idx="5">
                  <c:v>1755</c:v>
                </c:pt>
                <c:pt idx="6">
                  <c:v>1756</c:v>
                </c:pt>
                <c:pt idx="7">
                  <c:v>1757</c:v>
                </c:pt>
                <c:pt idx="8">
                  <c:v>1758</c:v>
                </c:pt>
                <c:pt idx="9">
                  <c:v>1759</c:v>
                </c:pt>
                <c:pt idx="10">
                  <c:v>1760</c:v>
                </c:pt>
                <c:pt idx="11">
                  <c:v>1761</c:v>
                </c:pt>
                <c:pt idx="12">
                  <c:v>1762</c:v>
                </c:pt>
                <c:pt idx="13">
                  <c:v>1763</c:v>
                </c:pt>
                <c:pt idx="14">
                  <c:v>1764</c:v>
                </c:pt>
                <c:pt idx="15">
                  <c:v>1765</c:v>
                </c:pt>
                <c:pt idx="16">
                  <c:v>1766</c:v>
                </c:pt>
                <c:pt idx="17">
                  <c:v>1767</c:v>
                </c:pt>
                <c:pt idx="18">
                  <c:v>1768</c:v>
                </c:pt>
                <c:pt idx="19">
                  <c:v>1769</c:v>
                </c:pt>
                <c:pt idx="20">
                  <c:v>1770</c:v>
                </c:pt>
                <c:pt idx="21">
                  <c:v>1771</c:v>
                </c:pt>
                <c:pt idx="22">
                  <c:v>1772</c:v>
                </c:pt>
                <c:pt idx="23">
                  <c:v>1773</c:v>
                </c:pt>
                <c:pt idx="24">
                  <c:v>1774</c:v>
                </c:pt>
                <c:pt idx="25">
                  <c:v>1775</c:v>
                </c:pt>
                <c:pt idx="26">
                  <c:v>1776</c:v>
                </c:pt>
                <c:pt idx="27">
                  <c:v>1777</c:v>
                </c:pt>
                <c:pt idx="28">
                  <c:v>1778</c:v>
                </c:pt>
                <c:pt idx="29">
                  <c:v>1779</c:v>
                </c:pt>
                <c:pt idx="30">
                  <c:v>1780</c:v>
                </c:pt>
                <c:pt idx="31">
                  <c:v>1781</c:v>
                </c:pt>
                <c:pt idx="32">
                  <c:v>1782</c:v>
                </c:pt>
                <c:pt idx="33">
                  <c:v>1783</c:v>
                </c:pt>
                <c:pt idx="34">
                  <c:v>1784</c:v>
                </c:pt>
                <c:pt idx="35">
                  <c:v>1785</c:v>
                </c:pt>
                <c:pt idx="36">
                  <c:v>1786</c:v>
                </c:pt>
                <c:pt idx="37">
                  <c:v>1787</c:v>
                </c:pt>
                <c:pt idx="38">
                  <c:v>1788</c:v>
                </c:pt>
                <c:pt idx="39">
                  <c:v>1789</c:v>
                </c:pt>
                <c:pt idx="40">
                  <c:v>1790</c:v>
                </c:pt>
                <c:pt idx="41">
                  <c:v>1791</c:v>
                </c:pt>
                <c:pt idx="42">
                  <c:v>1792</c:v>
                </c:pt>
                <c:pt idx="43">
                  <c:v>1793</c:v>
                </c:pt>
                <c:pt idx="44">
                  <c:v>1794</c:v>
                </c:pt>
                <c:pt idx="45">
                  <c:v>1795</c:v>
                </c:pt>
                <c:pt idx="46">
                  <c:v>1796</c:v>
                </c:pt>
                <c:pt idx="47">
                  <c:v>1797</c:v>
                </c:pt>
                <c:pt idx="48">
                  <c:v>1798</c:v>
                </c:pt>
                <c:pt idx="49">
                  <c:v>1799</c:v>
                </c:pt>
                <c:pt idx="50">
                  <c:v>1800</c:v>
                </c:pt>
                <c:pt idx="51">
                  <c:v>1801</c:v>
                </c:pt>
                <c:pt idx="52">
                  <c:v>1802</c:v>
                </c:pt>
                <c:pt idx="53">
                  <c:v>1803</c:v>
                </c:pt>
                <c:pt idx="54">
                  <c:v>1804</c:v>
                </c:pt>
                <c:pt idx="55">
                  <c:v>1805</c:v>
                </c:pt>
                <c:pt idx="56">
                  <c:v>1806</c:v>
                </c:pt>
                <c:pt idx="57">
                  <c:v>1807</c:v>
                </c:pt>
                <c:pt idx="58">
                  <c:v>1808</c:v>
                </c:pt>
                <c:pt idx="59">
                  <c:v>1809</c:v>
                </c:pt>
                <c:pt idx="60">
                  <c:v>1810</c:v>
                </c:pt>
                <c:pt idx="61">
                  <c:v>1811</c:v>
                </c:pt>
                <c:pt idx="62">
                  <c:v>1812</c:v>
                </c:pt>
                <c:pt idx="63">
                  <c:v>1813</c:v>
                </c:pt>
                <c:pt idx="64">
                  <c:v>1814</c:v>
                </c:pt>
                <c:pt idx="65">
                  <c:v>1815</c:v>
                </c:pt>
                <c:pt idx="66">
                  <c:v>1816</c:v>
                </c:pt>
                <c:pt idx="67">
                  <c:v>1817</c:v>
                </c:pt>
                <c:pt idx="68">
                  <c:v>1818</c:v>
                </c:pt>
                <c:pt idx="69">
                  <c:v>1819</c:v>
                </c:pt>
                <c:pt idx="70">
                  <c:v>1820</c:v>
                </c:pt>
                <c:pt idx="71">
                  <c:v>1821</c:v>
                </c:pt>
                <c:pt idx="72">
                  <c:v>1822</c:v>
                </c:pt>
                <c:pt idx="73">
                  <c:v>1823</c:v>
                </c:pt>
                <c:pt idx="74">
                  <c:v>1824</c:v>
                </c:pt>
                <c:pt idx="75">
                  <c:v>1825</c:v>
                </c:pt>
                <c:pt idx="76">
                  <c:v>1826</c:v>
                </c:pt>
                <c:pt idx="77">
                  <c:v>1827</c:v>
                </c:pt>
                <c:pt idx="78">
                  <c:v>1828</c:v>
                </c:pt>
                <c:pt idx="79">
                  <c:v>1829</c:v>
                </c:pt>
                <c:pt idx="80">
                  <c:v>1830</c:v>
                </c:pt>
                <c:pt idx="81">
                  <c:v>1831</c:v>
                </c:pt>
                <c:pt idx="82">
                  <c:v>1832</c:v>
                </c:pt>
                <c:pt idx="83">
                  <c:v>1833</c:v>
                </c:pt>
                <c:pt idx="84">
                  <c:v>1834</c:v>
                </c:pt>
                <c:pt idx="85">
                  <c:v>1835</c:v>
                </c:pt>
                <c:pt idx="86">
                  <c:v>1836</c:v>
                </c:pt>
                <c:pt idx="87">
                  <c:v>1837</c:v>
                </c:pt>
                <c:pt idx="88">
                  <c:v>1838</c:v>
                </c:pt>
                <c:pt idx="89">
                  <c:v>1839</c:v>
                </c:pt>
                <c:pt idx="90">
                  <c:v>1840</c:v>
                </c:pt>
                <c:pt idx="91">
                  <c:v>1841</c:v>
                </c:pt>
                <c:pt idx="92">
                  <c:v>1842</c:v>
                </c:pt>
                <c:pt idx="93">
                  <c:v>1843</c:v>
                </c:pt>
                <c:pt idx="94">
                  <c:v>1844</c:v>
                </c:pt>
                <c:pt idx="95">
                  <c:v>1845</c:v>
                </c:pt>
                <c:pt idx="96">
                  <c:v>1846</c:v>
                </c:pt>
                <c:pt idx="97">
                  <c:v>1847</c:v>
                </c:pt>
                <c:pt idx="98">
                  <c:v>1848</c:v>
                </c:pt>
                <c:pt idx="99">
                  <c:v>1849</c:v>
                </c:pt>
                <c:pt idx="100">
                  <c:v>1850</c:v>
                </c:pt>
                <c:pt idx="101">
                  <c:v>1851</c:v>
                </c:pt>
                <c:pt idx="102">
                  <c:v>1852</c:v>
                </c:pt>
                <c:pt idx="103">
                  <c:v>1853</c:v>
                </c:pt>
                <c:pt idx="104">
                  <c:v>1854</c:v>
                </c:pt>
                <c:pt idx="105">
                  <c:v>1855</c:v>
                </c:pt>
                <c:pt idx="106">
                  <c:v>1856</c:v>
                </c:pt>
                <c:pt idx="107">
                  <c:v>1857</c:v>
                </c:pt>
                <c:pt idx="108">
                  <c:v>1858</c:v>
                </c:pt>
                <c:pt idx="109">
                  <c:v>1859</c:v>
                </c:pt>
                <c:pt idx="110">
                  <c:v>1860</c:v>
                </c:pt>
                <c:pt idx="111">
                  <c:v>1861</c:v>
                </c:pt>
                <c:pt idx="112">
                  <c:v>1862</c:v>
                </c:pt>
                <c:pt idx="113">
                  <c:v>1863</c:v>
                </c:pt>
                <c:pt idx="114">
                  <c:v>1864</c:v>
                </c:pt>
                <c:pt idx="115">
                  <c:v>1865</c:v>
                </c:pt>
                <c:pt idx="116">
                  <c:v>1866</c:v>
                </c:pt>
                <c:pt idx="117">
                  <c:v>1867</c:v>
                </c:pt>
                <c:pt idx="118">
                  <c:v>1868</c:v>
                </c:pt>
                <c:pt idx="119">
                  <c:v>1869</c:v>
                </c:pt>
                <c:pt idx="120">
                  <c:v>1870</c:v>
                </c:pt>
                <c:pt idx="121">
                  <c:v>1871</c:v>
                </c:pt>
                <c:pt idx="122">
                  <c:v>1872</c:v>
                </c:pt>
                <c:pt idx="123">
                  <c:v>1873</c:v>
                </c:pt>
                <c:pt idx="124">
                  <c:v>1874</c:v>
                </c:pt>
                <c:pt idx="125">
                  <c:v>1875</c:v>
                </c:pt>
                <c:pt idx="126">
                  <c:v>1876</c:v>
                </c:pt>
                <c:pt idx="127">
                  <c:v>1877</c:v>
                </c:pt>
                <c:pt idx="128">
                  <c:v>1878</c:v>
                </c:pt>
                <c:pt idx="129">
                  <c:v>1879</c:v>
                </c:pt>
                <c:pt idx="130">
                  <c:v>1880</c:v>
                </c:pt>
                <c:pt idx="131">
                  <c:v>1881</c:v>
                </c:pt>
                <c:pt idx="132">
                  <c:v>1882</c:v>
                </c:pt>
                <c:pt idx="133">
                  <c:v>1883</c:v>
                </c:pt>
                <c:pt idx="134">
                  <c:v>1884</c:v>
                </c:pt>
                <c:pt idx="135">
                  <c:v>1885</c:v>
                </c:pt>
                <c:pt idx="136">
                  <c:v>1886</c:v>
                </c:pt>
                <c:pt idx="137">
                  <c:v>1887</c:v>
                </c:pt>
                <c:pt idx="138">
                  <c:v>1888</c:v>
                </c:pt>
                <c:pt idx="139">
                  <c:v>1889</c:v>
                </c:pt>
                <c:pt idx="140">
                  <c:v>1890</c:v>
                </c:pt>
                <c:pt idx="141">
                  <c:v>1891</c:v>
                </c:pt>
                <c:pt idx="142">
                  <c:v>1892</c:v>
                </c:pt>
                <c:pt idx="143">
                  <c:v>1893</c:v>
                </c:pt>
                <c:pt idx="144">
                  <c:v>1894</c:v>
                </c:pt>
                <c:pt idx="145">
                  <c:v>1895</c:v>
                </c:pt>
                <c:pt idx="146">
                  <c:v>1896</c:v>
                </c:pt>
                <c:pt idx="147">
                  <c:v>1897</c:v>
                </c:pt>
                <c:pt idx="148">
                  <c:v>1898</c:v>
                </c:pt>
                <c:pt idx="149">
                  <c:v>1899</c:v>
                </c:pt>
                <c:pt idx="150">
                  <c:v>1900</c:v>
                </c:pt>
                <c:pt idx="151">
                  <c:v>1901</c:v>
                </c:pt>
                <c:pt idx="152">
                  <c:v>1902</c:v>
                </c:pt>
                <c:pt idx="153">
                  <c:v>1903</c:v>
                </c:pt>
                <c:pt idx="154">
                  <c:v>1904</c:v>
                </c:pt>
                <c:pt idx="155">
                  <c:v>1905</c:v>
                </c:pt>
                <c:pt idx="156">
                  <c:v>1906</c:v>
                </c:pt>
                <c:pt idx="157">
                  <c:v>1907</c:v>
                </c:pt>
                <c:pt idx="158">
                  <c:v>1908</c:v>
                </c:pt>
                <c:pt idx="159">
                  <c:v>1909</c:v>
                </c:pt>
                <c:pt idx="160">
                  <c:v>1910</c:v>
                </c:pt>
                <c:pt idx="161">
                  <c:v>1911</c:v>
                </c:pt>
                <c:pt idx="162">
                  <c:v>1912</c:v>
                </c:pt>
                <c:pt idx="163">
                  <c:v>1913</c:v>
                </c:pt>
                <c:pt idx="164">
                  <c:v>1914</c:v>
                </c:pt>
                <c:pt idx="165">
                  <c:v>1915</c:v>
                </c:pt>
                <c:pt idx="166">
                  <c:v>1916</c:v>
                </c:pt>
                <c:pt idx="167">
                  <c:v>1917</c:v>
                </c:pt>
                <c:pt idx="168">
                  <c:v>1918</c:v>
                </c:pt>
                <c:pt idx="169">
                  <c:v>1919</c:v>
                </c:pt>
                <c:pt idx="170">
                  <c:v>1920</c:v>
                </c:pt>
                <c:pt idx="171">
                  <c:v>1921</c:v>
                </c:pt>
                <c:pt idx="172">
                  <c:v>1922</c:v>
                </c:pt>
                <c:pt idx="173">
                  <c:v>1923</c:v>
                </c:pt>
                <c:pt idx="174">
                  <c:v>1924</c:v>
                </c:pt>
                <c:pt idx="175">
                  <c:v>1925</c:v>
                </c:pt>
                <c:pt idx="176">
                  <c:v>1926</c:v>
                </c:pt>
                <c:pt idx="177">
                  <c:v>1927</c:v>
                </c:pt>
                <c:pt idx="178">
                  <c:v>1928</c:v>
                </c:pt>
                <c:pt idx="179">
                  <c:v>1929</c:v>
                </c:pt>
                <c:pt idx="180">
                  <c:v>1930</c:v>
                </c:pt>
                <c:pt idx="181">
                  <c:v>1931</c:v>
                </c:pt>
                <c:pt idx="182">
                  <c:v>1932</c:v>
                </c:pt>
                <c:pt idx="183">
                  <c:v>1933</c:v>
                </c:pt>
                <c:pt idx="184">
                  <c:v>1934</c:v>
                </c:pt>
                <c:pt idx="185">
                  <c:v>1935</c:v>
                </c:pt>
                <c:pt idx="186">
                  <c:v>1936</c:v>
                </c:pt>
                <c:pt idx="187">
                  <c:v>1937</c:v>
                </c:pt>
                <c:pt idx="188">
                  <c:v>1938</c:v>
                </c:pt>
                <c:pt idx="189">
                  <c:v>1939</c:v>
                </c:pt>
                <c:pt idx="190">
                  <c:v>1940</c:v>
                </c:pt>
                <c:pt idx="191">
                  <c:v>1941</c:v>
                </c:pt>
                <c:pt idx="192">
                  <c:v>1942</c:v>
                </c:pt>
                <c:pt idx="193">
                  <c:v>1943</c:v>
                </c:pt>
                <c:pt idx="194">
                  <c:v>1944</c:v>
                </c:pt>
                <c:pt idx="195">
                  <c:v>1945</c:v>
                </c:pt>
                <c:pt idx="196">
                  <c:v>1946</c:v>
                </c:pt>
                <c:pt idx="197">
                  <c:v>1947</c:v>
                </c:pt>
                <c:pt idx="198">
                  <c:v>1948</c:v>
                </c:pt>
                <c:pt idx="199">
                  <c:v>1949</c:v>
                </c:pt>
                <c:pt idx="200">
                  <c:v>1950</c:v>
                </c:pt>
                <c:pt idx="201">
                  <c:v>1951</c:v>
                </c:pt>
                <c:pt idx="202">
                  <c:v>1952</c:v>
                </c:pt>
                <c:pt idx="203">
                  <c:v>1953</c:v>
                </c:pt>
                <c:pt idx="204">
                  <c:v>1954</c:v>
                </c:pt>
                <c:pt idx="205">
                  <c:v>1955</c:v>
                </c:pt>
                <c:pt idx="206">
                  <c:v>1956</c:v>
                </c:pt>
                <c:pt idx="207">
                  <c:v>1957</c:v>
                </c:pt>
                <c:pt idx="208">
                  <c:v>1958</c:v>
                </c:pt>
                <c:pt idx="209">
                  <c:v>1959</c:v>
                </c:pt>
                <c:pt idx="210">
                  <c:v>1960</c:v>
                </c:pt>
                <c:pt idx="211">
                  <c:v>1961</c:v>
                </c:pt>
                <c:pt idx="212">
                  <c:v>1962</c:v>
                </c:pt>
                <c:pt idx="213">
                  <c:v>1963</c:v>
                </c:pt>
                <c:pt idx="214">
                  <c:v>1964</c:v>
                </c:pt>
                <c:pt idx="215">
                  <c:v>1965</c:v>
                </c:pt>
                <c:pt idx="216">
                  <c:v>1966</c:v>
                </c:pt>
                <c:pt idx="217">
                  <c:v>1967</c:v>
                </c:pt>
                <c:pt idx="218">
                  <c:v>1968</c:v>
                </c:pt>
                <c:pt idx="219">
                  <c:v>1969</c:v>
                </c:pt>
                <c:pt idx="220">
                  <c:v>1970</c:v>
                </c:pt>
                <c:pt idx="221">
                  <c:v>1971</c:v>
                </c:pt>
                <c:pt idx="222">
                  <c:v>1972</c:v>
                </c:pt>
                <c:pt idx="223">
                  <c:v>1973</c:v>
                </c:pt>
                <c:pt idx="224">
                  <c:v>1974</c:v>
                </c:pt>
                <c:pt idx="225">
                  <c:v>1975</c:v>
                </c:pt>
                <c:pt idx="226">
                  <c:v>1976</c:v>
                </c:pt>
                <c:pt idx="227">
                  <c:v>1977</c:v>
                </c:pt>
                <c:pt idx="228">
                  <c:v>1978</c:v>
                </c:pt>
                <c:pt idx="229">
                  <c:v>1979</c:v>
                </c:pt>
                <c:pt idx="230">
                  <c:v>1980</c:v>
                </c:pt>
                <c:pt idx="231">
                  <c:v>1981</c:v>
                </c:pt>
                <c:pt idx="232">
                  <c:v>1982</c:v>
                </c:pt>
                <c:pt idx="233">
                  <c:v>1983</c:v>
                </c:pt>
                <c:pt idx="234">
                  <c:v>1984</c:v>
                </c:pt>
                <c:pt idx="235">
                  <c:v>1985</c:v>
                </c:pt>
                <c:pt idx="236">
                  <c:v>1986</c:v>
                </c:pt>
                <c:pt idx="237">
                  <c:v>1987</c:v>
                </c:pt>
                <c:pt idx="238">
                  <c:v>1988</c:v>
                </c:pt>
                <c:pt idx="239">
                  <c:v>1989</c:v>
                </c:pt>
                <c:pt idx="240">
                  <c:v>1990</c:v>
                </c:pt>
                <c:pt idx="241">
                  <c:v>1991</c:v>
                </c:pt>
                <c:pt idx="242">
                  <c:v>1992</c:v>
                </c:pt>
                <c:pt idx="243">
                  <c:v>1993</c:v>
                </c:pt>
                <c:pt idx="244">
                  <c:v>1994</c:v>
                </c:pt>
                <c:pt idx="245">
                  <c:v>1995</c:v>
                </c:pt>
                <c:pt idx="246">
                  <c:v>1996</c:v>
                </c:pt>
                <c:pt idx="247">
                  <c:v>1997</c:v>
                </c:pt>
                <c:pt idx="248">
                  <c:v>1998</c:v>
                </c:pt>
                <c:pt idx="249">
                  <c:v>1999</c:v>
                </c:pt>
                <c:pt idx="250">
                  <c:v>2000</c:v>
                </c:pt>
                <c:pt idx="251">
                  <c:v>2001</c:v>
                </c:pt>
                <c:pt idx="252">
                  <c:v>2002</c:v>
                </c:pt>
                <c:pt idx="253">
                  <c:v>2003</c:v>
                </c:pt>
                <c:pt idx="254">
                  <c:v>2004</c:v>
                </c:pt>
                <c:pt idx="255">
                  <c:v>2005</c:v>
                </c:pt>
                <c:pt idx="256">
                  <c:v>2006</c:v>
                </c:pt>
                <c:pt idx="257">
                  <c:v>2007</c:v>
                </c:pt>
                <c:pt idx="258">
                  <c:v>2008</c:v>
                </c:pt>
                <c:pt idx="259">
                  <c:v>2009</c:v>
                </c:pt>
                <c:pt idx="260">
                  <c:v>2010</c:v>
                </c:pt>
                <c:pt idx="261">
                  <c:v>2011</c:v>
                </c:pt>
                <c:pt idx="262">
                  <c:v>2012</c:v>
                </c:pt>
                <c:pt idx="263">
                  <c:v>2013</c:v>
                </c:pt>
                <c:pt idx="264">
                  <c:v>2014</c:v>
                </c:pt>
                <c:pt idx="265">
                  <c:v>2015</c:v>
                </c:pt>
                <c:pt idx="266">
                  <c:v>2016</c:v>
                </c:pt>
                <c:pt idx="267">
                  <c:v>2017</c:v>
                </c:pt>
                <c:pt idx="268">
                  <c:v>2018</c:v>
                </c:pt>
                <c:pt idx="269">
                  <c:v>2019</c:v>
                </c:pt>
                <c:pt idx="270">
                  <c:v>2020</c:v>
                </c:pt>
                <c:pt idx="271">
                  <c:v>2021</c:v>
                </c:pt>
                <c:pt idx="272">
                  <c:v>2022</c:v>
                </c:pt>
                <c:pt idx="273">
                  <c:v>2023</c:v>
                </c:pt>
                <c:pt idx="274">
                  <c:v>2024</c:v>
                </c:pt>
                <c:pt idx="275">
                  <c:v>2025</c:v>
                </c:pt>
                <c:pt idx="276">
                  <c:v>2026</c:v>
                </c:pt>
                <c:pt idx="277">
                  <c:v>2027</c:v>
                </c:pt>
                <c:pt idx="278">
                  <c:v>2028</c:v>
                </c:pt>
                <c:pt idx="279">
                  <c:v>2029</c:v>
                </c:pt>
                <c:pt idx="280">
                  <c:v>2030</c:v>
                </c:pt>
                <c:pt idx="281">
                  <c:v>2031</c:v>
                </c:pt>
                <c:pt idx="282">
                  <c:v>2032</c:v>
                </c:pt>
                <c:pt idx="283">
                  <c:v>2033</c:v>
                </c:pt>
                <c:pt idx="284">
                  <c:v>2034</c:v>
                </c:pt>
                <c:pt idx="285">
                  <c:v>2035</c:v>
                </c:pt>
                <c:pt idx="286">
                  <c:v>2036</c:v>
                </c:pt>
                <c:pt idx="287">
                  <c:v>2037</c:v>
                </c:pt>
                <c:pt idx="288">
                  <c:v>2038</c:v>
                </c:pt>
                <c:pt idx="289">
                  <c:v>2039</c:v>
                </c:pt>
                <c:pt idx="290">
                  <c:v>2040</c:v>
                </c:pt>
                <c:pt idx="291">
                  <c:v>2041</c:v>
                </c:pt>
                <c:pt idx="292">
                  <c:v>2042</c:v>
                </c:pt>
                <c:pt idx="293">
                  <c:v>2043</c:v>
                </c:pt>
                <c:pt idx="294">
                  <c:v>2044</c:v>
                </c:pt>
                <c:pt idx="295">
                  <c:v>2045</c:v>
                </c:pt>
                <c:pt idx="296">
                  <c:v>2046</c:v>
                </c:pt>
                <c:pt idx="297">
                  <c:v>2047</c:v>
                </c:pt>
                <c:pt idx="298">
                  <c:v>2048</c:v>
                </c:pt>
                <c:pt idx="299">
                  <c:v>2049</c:v>
                </c:pt>
                <c:pt idx="300">
                  <c:v>2050</c:v>
                </c:pt>
                <c:pt idx="301">
                  <c:v>2051</c:v>
                </c:pt>
                <c:pt idx="302">
                  <c:v>2052</c:v>
                </c:pt>
                <c:pt idx="303">
                  <c:v>2053</c:v>
                </c:pt>
                <c:pt idx="304">
                  <c:v>2054</c:v>
                </c:pt>
                <c:pt idx="305">
                  <c:v>2055</c:v>
                </c:pt>
                <c:pt idx="306">
                  <c:v>2056</c:v>
                </c:pt>
                <c:pt idx="307">
                  <c:v>2057</c:v>
                </c:pt>
                <c:pt idx="308">
                  <c:v>2058</c:v>
                </c:pt>
                <c:pt idx="309">
                  <c:v>2059</c:v>
                </c:pt>
                <c:pt idx="310">
                  <c:v>2060</c:v>
                </c:pt>
                <c:pt idx="311">
                  <c:v>2061</c:v>
                </c:pt>
                <c:pt idx="312">
                  <c:v>2062</c:v>
                </c:pt>
                <c:pt idx="313">
                  <c:v>2063</c:v>
                </c:pt>
                <c:pt idx="314">
                  <c:v>2064</c:v>
                </c:pt>
                <c:pt idx="315">
                  <c:v>2065</c:v>
                </c:pt>
                <c:pt idx="316">
                  <c:v>2066</c:v>
                </c:pt>
                <c:pt idx="317">
                  <c:v>2067</c:v>
                </c:pt>
                <c:pt idx="318">
                  <c:v>2068</c:v>
                </c:pt>
                <c:pt idx="319">
                  <c:v>2069</c:v>
                </c:pt>
                <c:pt idx="320">
                  <c:v>2070</c:v>
                </c:pt>
                <c:pt idx="321">
                  <c:v>2071</c:v>
                </c:pt>
                <c:pt idx="322">
                  <c:v>2072</c:v>
                </c:pt>
                <c:pt idx="323">
                  <c:v>2073</c:v>
                </c:pt>
                <c:pt idx="324">
                  <c:v>2074</c:v>
                </c:pt>
                <c:pt idx="325">
                  <c:v>2075</c:v>
                </c:pt>
                <c:pt idx="326">
                  <c:v>2076</c:v>
                </c:pt>
                <c:pt idx="327">
                  <c:v>2077</c:v>
                </c:pt>
                <c:pt idx="328">
                  <c:v>2078</c:v>
                </c:pt>
                <c:pt idx="329">
                  <c:v>2079</c:v>
                </c:pt>
                <c:pt idx="330">
                  <c:v>2080</c:v>
                </c:pt>
                <c:pt idx="331">
                  <c:v>2081</c:v>
                </c:pt>
                <c:pt idx="332">
                  <c:v>2082</c:v>
                </c:pt>
                <c:pt idx="333">
                  <c:v>2083</c:v>
                </c:pt>
                <c:pt idx="334">
                  <c:v>2084</c:v>
                </c:pt>
                <c:pt idx="335">
                  <c:v>2085</c:v>
                </c:pt>
                <c:pt idx="336">
                  <c:v>2086</c:v>
                </c:pt>
                <c:pt idx="337">
                  <c:v>2087</c:v>
                </c:pt>
                <c:pt idx="338">
                  <c:v>2088</c:v>
                </c:pt>
                <c:pt idx="339">
                  <c:v>2089</c:v>
                </c:pt>
                <c:pt idx="340">
                  <c:v>2090</c:v>
                </c:pt>
                <c:pt idx="341">
                  <c:v>2091</c:v>
                </c:pt>
                <c:pt idx="342">
                  <c:v>2092</c:v>
                </c:pt>
                <c:pt idx="343">
                  <c:v>2093</c:v>
                </c:pt>
                <c:pt idx="344">
                  <c:v>2094</c:v>
                </c:pt>
                <c:pt idx="345">
                  <c:v>2095</c:v>
                </c:pt>
                <c:pt idx="346">
                  <c:v>2096</c:v>
                </c:pt>
                <c:pt idx="347">
                  <c:v>2097</c:v>
                </c:pt>
                <c:pt idx="348">
                  <c:v>2098</c:v>
                </c:pt>
                <c:pt idx="349">
                  <c:v>2099</c:v>
                </c:pt>
                <c:pt idx="350">
                  <c:v>2100</c:v>
                </c:pt>
              </c:numCache>
            </c:numRef>
          </c:cat>
          <c:val>
            <c:numRef>
              <c:f>modello!$AN$4:$AN$354</c:f>
              <c:numCache>
                <c:ptCount val="351"/>
                <c:pt idx="0">
                  <c:v>0</c:v>
                </c:pt>
                <c:pt idx="1">
                  <c:v>-0.0008146333641798264</c:v>
                </c:pt>
                <c:pt idx="2">
                  <c:v>-0.0016230126868424575</c:v>
                </c:pt>
                <c:pt idx="3">
                  <c:v>-0.0024251835878247615</c:v>
                </c:pt>
                <c:pt idx="4">
                  <c:v>-0.003221191388859239</c:v>
                </c:pt>
                <c:pt idx="5">
                  <c:v>-0.004011081115035466</c:v>
                </c:pt>
                <c:pt idx="6">
                  <c:v>-0.004794897496260261</c:v>
                </c:pt>
                <c:pt idx="7">
                  <c:v>-0.005572684968718704</c:v>
                </c:pt>
                <c:pt idx="8">
                  <c:v>-0.0063444876763313115</c:v>
                </c:pt>
                <c:pt idx="9">
                  <c:v>-0.007110349472213357</c:v>
                </c:pt>
                <c:pt idx="10">
                  <c:v>-0.007870313920133327</c:v>
                </c:pt>
                <c:pt idx="11">
                  <c:v>-0.008624424295969248</c:v>
                </c:pt>
                <c:pt idx="12">
                  <c:v>-0.009372723589163313</c:v>
                </c:pt>
                <c:pt idx="13">
                  <c:v>-0.010115254504179062</c:v>
                </c:pt>
                <c:pt idx="14">
                  <c:v>-0.010852059461951313</c:v>
                </c:pt>
                <c:pt idx="15">
                  <c:v>-0.011583180601341211</c:v>
                </c:pt>
                <c:pt idx="16">
                  <c:v>-0.01230865978058489</c:v>
                </c:pt>
                <c:pt idx="17">
                  <c:v>-0.013028538578745098</c:v>
                </c:pt>
                <c:pt idx="18">
                  <c:v>-0.01374285829715518</c:v>
                </c:pt>
                <c:pt idx="19">
                  <c:v>-0.01445165996086814</c:v>
                </c:pt>
                <c:pt idx="20">
                  <c:v>-0.015154984320099344</c:v>
                </c:pt>
                <c:pt idx="21">
                  <c:v>-0.01585287185166919</c:v>
                </c:pt>
                <c:pt idx="22">
                  <c:v>-0.016545362760442828</c:v>
                </c:pt>
                <c:pt idx="23">
                  <c:v>-0.017232496980768983</c:v>
                </c:pt>
                <c:pt idx="24">
                  <c:v>-0.01791431417791628</c:v>
                </c:pt>
                <c:pt idx="25">
                  <c:v>-0.0185908537495078</c:v>
                </c:pt>
                <c:pt idx="26">
                  <c:v>-0.01926215482695099</c:v>
                </c:pt>
                <c:pt idx="27">
                  <c:v>-0.01992825627686841</c:v>
                </c:pt>
                <c:pt idx="28">
                  <c:v>-0.020589196702524647</c:v>
                </c:pt>
                <c:pt idx="29">
                  <c:v>-0.021245014445251086</c:v>
                </c:pt>
                <c:pt idx="30">
                  <c:v>-0.02189574758586602</c:v>
                </c:pt>
                <c:pt idx="31">
                  <c:v>-0.022541433946095993</c:v>
                </c:pt>
                <c:pt idx="32">
                  <c:v>-0.02318211108999165</c:v>
                </c:pt>
                <c:pt idx="33">
                  <c:v>-0.023817816325340146</c:v>
                </c:pt>
                <c:pt idx="34">
                  <c:v>-0.024448586705077983</c:v>
                </c:pt>
                <c:pt idx="35">
                  <c:v>-0.02507445902869705</c:v>
                </c:pt>
                <c:pt idx="36">
                  <c:v>-0.02569546984365189</c:v>
                </c:pt>
                <c:pt idx="37">
                  <c:v>-0.02631165544675767</c:v>
                </c:pt>
                <c:pt idx="38">
                  <c:v>-0.02692305188559274</c:v>
                </c:pt>
                <c:pt idx="39">
                  <c:v>-0.027529694959891913</c:v>
                </c:pt>
                <c:pt idx="40">
                  <c:v>-0.02813162022293966</c:v>
                </c:pt>
                <c:pt idx="41">
                  <c:v>-0.028728862982956967</c:v>
                </c:pt>
                <c:pt idx="42">
                  <c:v>-0.029321458304490306</c:v>
                </c:pt>
                <c:pt idx="43">
                  <c:v>-0.0299094410097895</c:v>
                </c:pt>
                <c:pt idx="44">
                  <c:v>-0.030492845680189475</c:v>
                </c:pt>
                <c:pt idx="45">
                  <c:v>-0.031071706657483416</c:v>
                </c:pt>
                <c:pt idx="46">
                  <c:v>-0.03164605804529515</c:v>
                </c:pt>
                <c:pt idx="47">
                  <c:v>-0.03221593371044506</c:v>
                </c:pt>
                <c:pt idx="48">
                  <c:v>-0.03278136728431562</c:v>
                </c:pt>
                <c:pt idx="49">
                  <c:v>-0.03334239216421096</c:v>
                </c:pt>
                <c:pt idx="50">
                  <c:v>-0.03389904151471214</c:v>
                </c:pt>
                <c:pt idx="51">
                  <c:v>-0.034451348269031144</c:v>
                </c:pt>
                <c:pt idx="52">
                  <c:v>-0.034999345130357254</c:v>
                </c:pt>
                <c:pt idx="53">
                  <c:v>-0.035543064573203366</c:v>
                </c:pt>
                <c:pt idx="54">
                  <c:v>-0.03608253884474507</c:v>
                </c:pt>
                <c:pt idx="55">
                  <c:v>-0.03661779996615721</c:v>
                </c:pt>
                <c:pt idx="56">
                  <c:v>-0.03714887973394653</c:v>
                </c:pt>
                <c:pt idx="57">
                  <c:v>-0.03767580972127888</c:v>
                </c:pt>
                <c:pt idx="58">
                  <c:v>-0.0381986212793025</c:v>
                </c:pt>
                <c:pt idx="59">
                  <c:v>-0.03871734553846878</c:v>
                </c:pt>
                <c:pt idx="60">
                  <c:v>-0.03923201340984661</c:v>
                </c:pt>
                <c:pt idx="61">
                  <c:v>-0.03974265558643381</c:v>
                </c:pt>
                <c:pt idx="62">
                  <c:v>-0.040249302544461615</c:v>
                </c:pt>
                <c:pt idx="63">
                  <c:v>-0.04075198454469969</c:v>
                </c:pt>
                <c:pt idx="64">
                  <c:v>-0.04125073163375134</c:v>
                </c:pt>
                <c:pt idx="65">
                  <c:v>-0.04174557364534607</c:v>
                </c:pt>
                <c:pt idx="66">
                  <c:v>-0.04223654020163138</c:v>
                </c:pt>
                <c:pt idx="67">
                  <c:v>-0.04272366071445262</c:v>
                </c:pt>
                <c:pt idx="68">
                  <c:v>-0.04320696438663532</c:v>
                </c:pt>
                <c:pt idx="69">
                  <c:v>-0.04368648021325825</c:v>
                </c:pt>
                <c:pt idx="70">
                  <c:v>-0.04416223698292299</c:v>
                </c:pt>
                <c:pt idx="71">
                  <c:v>-0.044634263279022264</c:v>
                </c:pt>
                <c:pt idx="72">
                  <c:v>-0.045102587480996305</c:v>
                </c:pt>
                <c:pt idx="73">
                  <c:v>-0.04556723776559224</c:v>
                </c:pt>
                <c:pt idx="74">
                  <c:v>-0.046028242108111926</c:v>
                </c:pt>
                <c:pt idx="75">
                  <c:v>-0.04648562828366195</c:v>
                </c:pt>
                <c:pt idx="76">
                  <c:v>-0.046939423868391256</c:v>
                </c:pt>
                <c:pt idx="77">
                  <c:v>-0.047389656240730035</c:v>
                </c:pt>
                <c:pt idx="78">
                  <c:v>-0.04783635258262052</c:v>
                </c:pt>
                <c:pt idx="79">
                  <c:v>-0.04827953988074398</c:v>
                </c:pt>
                <c:pt idx="80">
                  <c:v>-0.04871924492774255</c:v>
                </c:pt>
                <c:pt idx="81">
                  <c:v>-0.04915549432343553</c:v>
                </c:pt>
                <c:pt idx="82">
                  <c:v>-0.04958831447603103</c:v>
                </c:pt>
                <c:pt idx="83">
                  <c:v>-0.05001773160333414</c:v>
                </c:pt>
                <c:pt idx="84">
                  <c:v>-0.05044377173394835</c:v>
                </c:pt>
                <c:pt idx="85">
                  <c:v>-0.050866460708469674</c:v>
                </c:pt>
                <c:pt idx="86">
                  <c:v>-0.05128582418068333</c:v>
                </c:pt>
                <c:pt idx="87">
                  <c:v>-0.05170188761874598</c:v>
                </c:pt>
                <c:pt idx="88">
                  <c:v>-0.05211467630636917</c:v>
                </c:pt>
                <c:pt idx="89">
                  <c:v>-0.05252421534399644</c:v>
                </c:pt>
                <c:pt idx="90">
                  <c:v>-0.05293052964997187</c:v>
                </c:pt>
                <c:pt idx="91">
                  <c:v>-0.05333364396170992</c:v>
                </c:pt>
                <c:pt idx="92">
                  <c:v>-0.05373358283685377</c:v>
                </c:pt>
                <c:pt idx="93">
                  <c:v>-0.05413037065443234</c:v>
                </c:pt>
                <c:pt idx="94">
                  <c:v>-0.05452403161601054</c:v>
                </c:pt>
                <c:pt idx="95">
                  <c:v>-0.054914589746835246</c:v>
                </c:pt>
                <c:pt idx="96">
                  <c:v>-0.055302068896974386</c:v>
                </c:pt>
                <c:pt idx="97">
                  <c:v>-0.05568649274245402</c:v>
                </c:pt>
                <c:pt idx="98">
                  <c:v>-0.05606788478638634</c:v>
                </c:pt>
                <c:pt idx="99">
                  <c:v>-0.05644626836009522</c:v>
                </c:pt>
                <c:pt idx="100">
                  <c:v>-0.056821666624235684</c:v>
                </c:pt>
                <c:pt idx="101">
                  <c:v>-0.057194102569907125</c:v>
                </c:pt>
                <c:pt idx="102">
                  <c:v>-0.057563599019763385</c:v>
                </c:pt>
                <c:pt idx="103">
                  <c:v>-0.05793017862911568</c:v>
                </c:pt>
                <c:pt idx="104">
                  <c:v>-0.0582938638870317</c:v>
                </c:pt>
                <c:pt idx="105">
                  <c:v>-0.05865467711742738</c:v>
                </c:pt>
                <c:pt idx="106">
                  <c:v>-0.059012640480154914</c:v>
                </c:pt>
                <c:pt idx="107">
                  <c:v>-0.059367775972088165</c:v>
                </c:pt>
                <c:pt idx="108">
                  <c:v>-0.05972010542819511</c:v>
                </c:pt>
                <c:pt idx="109">
                  <c:v>-0.06006965052261364</c:v>
                </c:pt>
                <c:pt idx="110">
                  <c:v>-0.06041643276971676</c:v>
                </c:pt>
                <c:pt idx="111">
                  <c:v>-0.06076047352517392</c:v>
                </c:pt>
                <c:pt idx="112">
                  <c:v>-0.061101793987007436</c:v>
                </c:pt>
                <c:pt idx="113">
                  <c:v>-0.0614404151966432</c:v>
                </c:pt>
                <c:pt idx="114">
                  <c:v>-0.06177635803995599</c:v>
                </c:pt>
                <c:pt idx="115">
                  <c:v>-0.06210964324831018</c:v>
                </c:pt>
                <c:pt idx="116">
                  <c:v>-0.06244029139959352</c:v>
                </c:pt>
                <c:pt idx="117">
                  <c:v>-0.06276832291924869</c:v>
                </c:pt>
                <c:pt idx="118">
                  <c:v>-0.0630937580812958</c:v>
                </c:pt>
                <c:pt idx="119">
                  <c:v>-0.0634166170093524</c:v>
                </c:pt>
                <c:pt idx="120">
                  <c:v>-0.06373691967764664</c:v>
                </c:pt>
                <c:pt idx="121">
                  <c:v>-0.06405468591202634</c:v>
                </c:pt>
                <c:pt idx="122">
                  <c:v>-0.06436993539096178</c:v>
                </c:pt>
                <c:pt idx="123">
                  <c:v>-0.06468268764654411</c:v>
                </c:pt>
                <c:pt idx="124">
                  <c:v>-0.0649929620654774</c:v>
                </c:pt>
                <c:pt idx="125">
                  <c:v>-0.06530077789006604</c:v>
                </c:pt>
                <c:pt idx="126">
                  <c:v>-0.06560615421919742</c:v>
                </c:pt>
                <c:pt idx="127">
                  <c:v>-0.06590911000931818</c:v>
                </c:pt>
                <c:pt idx="128">
                  <c:v>-0.06620966407540628</c:v>
                </c:pt>
                <c:pt idx="129">
                  <c:v>-0.06650783509193701</c:v>
                </c:pt>
                <c:pt idx="130">
                  <c:v>-0.06680364159384418</c:v>
                </c:pt>
                <c:pt idx="131">
                  <c:v>-0.06709710197747654</c:v>
                </c:pt>
                <c:pt idx="132">
                  <c:v>-0.06738823450154748</c:v>
                </c:pt>
                <c:pt idx="133">
                  <c:v>-0.06767705728808138</c:v>
                </c:pt>
                <c:pt idx="134">
                  <c:v>-0.06796358832335314</c:v>
                </c:pt>
                <c:pt idx="135">
                  <c:v>-0.06824784545882409</c:v>
                </c:pt>
                <c:pt idx="136">
                  <c:v>-0.06852984641207094</c:v>
                </c:pt>
                <c:pt idx="137">
                  <c:v>-0.06880960876771099</c:v>
                </c:pt>
                <c:pt idx="138">
                  <c:v>-0.06908714997832142</c:v>
                </c:pt>
                <c:pt idx="139">
                  <c:v>-0.06936248736535383</c:v>
                </c:pt>
                <c:pt idx="140">
                  <c:v>-0.06963563812004352</c:v>
                </c:pt>
                <c:pt idx="141">
                  <c:v>-0.06990661930431315</c:v>
                </c:pt>
                <c:pt idx="142">
                  <c:v>-0.07017544785167203</c:v>
                </c:pt>
                <c:pt idx="143">
                  <c:v>-0.0704421405681093</c:v>
                </c:pt>
                <c:pt idx="144">
                  <c:v>-0.07070671413298406</c:v>
                </c:pt>
                <c:pt idx="145">
                  <c:v>-0.07096918509990707</c:v>
                </c:pt>
                <c:pt idx="146">
                  <c:v>-0.07122956989762108</c:v>
                </c:pt>
                <c:pt idx="147">
                  <c:v>-0.07148788483087287</c:v>
                </c:pt>
                <c:pt idx="148">
                  <c:v>-0.07174414608128252</c:v>
                </c:pt>
                <c:pt idx="149">
                  <c:v>-0.07199836970820676</c:v>
                </c:pt>
                <c:pt idx="150">
                  <c:v>-0.07225057164959629</c:v>
                </c:pt>
                <c:pt idx="151">
                  <c:v>-0.07250076772285055</c:v>
                </c:pt>
                <c:pt idx="152">
                  <c:v>-0.07267961088552531</c:v>
                </c:pt>
                <c:pt idx="153">
                  <c:v>-0.07278761842755244</c:v>
                </c:pt>
                <c:pt idx="154">
                  <c:v>-0.0728253130017012</c:v>
                </c:pt>
                <c:pt idx="155">
                  <c:v>-0.07279322240696139</c:v>
                </c:pt>
                <c:pt idx="156">
                  <c:v>-0.07269187937221439</c:v>
                </c:pt>
                <c:pt idx="157">
                  <c:v>-0.07252182134032757</c:v>
                </c:pt>
                <c:pt idx="158">
                  <c:v>-0.07228359025281086</c:v>
                </c:pt>
                <c:pt idx="159">
                  <c:v>-0.07197773233517515</c:v>
                </c:pt>
                <c:pt idx="160">
                  <c:v>-0.07160479788312557</c:v>
                </c:pt>
                <c:pt idx="161">
                  <c:v>-0.07116534104972984</c:v>
                </c:pt>
                <c:pt idx="162">
                  <c:v>-0.07065991963369633</c:v>
                </c:pt>
                <c:pt idx="163">
                  <c:v>-0.07008909486889486</c:v>
                </c:pt>
                <c:pt idx="164">
                  <c:v>-0.0694534312152551</c:v>
                </c:pt>
                <c:pt idx="165">
                  <c:v>-0.06875349615116903</c:v>
                </c:pt>
                <c:pt idx="166">
                  <c:v>-0.06798985996752868</c:v>
                </c:pt>
                <c:pt idx="167">
                  <c:v>-0.06716309556352136</c:v>
                </c:pt>
                <c:pt idx="168">
                  <c:v>-0.06627377824430546</c:v>
                </c:pt>
                <c:pt idx="169">
                  <c:v>-0.06532248552068537</c:v>
                </c:pt>
                <c:pt idx="170">
                  <c:v>-0.06430979691089952</c:v>
                </c:pt>
                <c:pt idx="171">
                  <c:v>-0.06323629374463287</c:v>
                </c:pt>
                <c:pt idx="172">
                  <c:v>-0.06210255896936303</c:v>
                </c:pt>
                <c:pt idx="173">
                  <c:v>-0.06090917695914058</c:v>
                </c:pt>
                <c:pt idx="174">
                  <c:v>-0.05965673332590356</c:v>
                </c:pt>
                <c:pt idx="175">
                  <c:v>-0.058345814733420834</c:v>
                </c:pt>
                <c:pt idx="176">
                  <c:v>-0.05697700871395525</c:v>
                </c:pt>
                <c:pt idx="177">
                  <c:v>-0.05555090348773135</c:v>
                </c:pt>
                <c:pt idx="178">
                  <c:v>-0.05406808778528628</c:v>
                </c:pt>
                <c:pt idx="179">
                  <c:v>-0.052529150672785074</c:v>
                </c:pt>
                <c:pt idx="180">
                  <c:v>-0.05093468138036783</c:v>
                </c:pt>
                <c:pt idx="181">
                  <c:v>-0.049285269133595905</c:v>
                </c:pt>
                <c:pt idx="182">
                  <c:v>-0.047581502988060576</c:v>
                </c:pt>
                <c:pt idx="183">
                  <c:v>-0.04582397166720966</c:v>
                </c:pt>
                <c:pt idx="184">
                  <c:v>-0.04401326340344568</c:v>
                </c:pt>
                <c:pt idx="185">
                  <c:v>-0.042149965782542154</c:v>
                </c:pt>
                <c:pt idx="186">
                  <c:v>-0.04023466559142065</c:v>
                </c:pt>
                <c:pt idx="187">
                  <c:v>-0.038267948669328145</c:v>
                </c:pt>
                <c:pt idx="188">
                  <c:v>-0.03625039976244508</c:v>
                </c:pt>
                <c:pt idx="189">
                  <c:v>-0.03418260238195813</c:v>
                </c:pt>
                <c:pt idx="190">
                  <c:v>-0.03206513866561693</c:v>
                </c:pt>
                <c:pt idx="191">
                  <c:v>-0.029898589242797726</c:v>
                </c:pt>
                <c:pt idx="192">
                  <c:v>-0.02768353310309024</c:v>
                </c:pt>
                <c:pt idx="193">
                  <c:v>-0.025420547468414868</c:v>
                </c:pt>
                <c:pt idx="194">
                  <c:v>-0.023110207668684806</c:v>
                </c:pt>
                <c:pt idx="195">
                  <c:v>-0.020753087021011394</c:v>
                </c:pt>
                <c:pt idx="196">
                  <c:v>-0.018349756712450472</c:v>
                </c:pt>
                <c:pt idx="197">
                  <c:v>-0.015900785686294085</c:v>
                </c:pt>
                <c:pt idx="198">
                  <c:v>-0.013406740531890051</c:v>
                </c:pt>
                <c:pt idx="199">
                  <c:v>-0.010868185377983793</c:v>
                </c:pt>
                <c:pt idx="200">
                  <c:v>-0.008285681789566722</c:v>
                </c:pt>
                <c:pt idx="201">
                  <c:v>-0.005659788668212826</c:v>
                </c:pt>
                <c:pt idx="202">
                  <c:v>-0.0029910621558808257</c:v>
                </c:pt>
                <c:pt idx="203">
                  <c:v>-0.0002800555421615058</c:v>
                </c:pt>
                <c:pt idx="204">
                  <c:v>0.0024726808250605356</c:v>
                </c:pt>
                <c:pt idx="205">
                  <c:v>0.0052665996255545616</c:v>
                </c:pt>
                <c:pt idx="206">
                  <c:v>0.008101156649343863</c:v>
                </c:pt>
                <c:pt idx="207">
                  <c:v>0.010975810875978027</c:v>
                </c:pt>
                <c:pt idx="208">
                  <c:v>0.013890024550526334</c:v>
                </c:pt>
                <c:pt idx="209">
                  <c:v>0.01684326325632682</c:v>
                </c:pt>
                <c:pt idx="210">
                  <c:v>0.01983499598452937</c:v>
                </c:pt>
                <c:pt idx="211">
                  <c:v>0.02286469520048314</c:v>
                </c:pt>
                <c:pt idx="212">
                  <c:v>0.025931836907002008</c:v>
                </c:pt>
                <c:pt idx="213">
                  <c:v>0.029035900704567724</c:v>
                </c:pt>
                <c:pt idx="214">
                  <c:v>0.03217636984850444</c:v>
                </c:pt>
                <c:pt idx="215">
                  <c:v>0.03535273130318771</c:v>
                </c:pt>
                <c:pt idx="216">
                  <c:v>0.0385644757933251</c:v>
                </c:pt>
                <c:pt idx="217">
                  <c:v>0.0418110978523714</c:v>
                </c:pt>
                <c:pt idx="218">
                  <c:v>0.04509209586812545</c:v>
                </c:pt>
                <c:pt idx="219">
                  <c:v>0.048406972125558806</c:v>
                </c:pt>
                <c:pt idx="220">
                  <c:v>0.05175523284694023</c:v>
                </c:pt>
                <c:pt idx="221">
                  <c:v>0.05513638822930332</c:v>
                </c:pt>
                <c:pt idx="222">
                  <c:v>0.05854995247931228</c:v>
                </c:pt>
                <c:pt idx="223">
                  <c:v>0.06199544384559146</c:v>
                </c:pt>
                <c:pt idx="224">
                  <c:v>0.06547238464856094</c:v>
                </c:pt>
                <c:pt idx="225">
                  <c:v>0.06898030130785088</c:v>
                </c:pt>
                <c:pt idx="226">
                  <c:v>0.0725187243673372</c:v>
                </c:pt>
                <c:pt idx="227">
                  <c:v>0.07602164365081009</c:v>
                </c:pt>
                <c:pt idx="228">
                  <c:v>0.0794894834226342</c:v>
                </c:pt>
                <c:pt idx="229">
                  <c:v>0.08292266294427605</c:v>
                </c:pt>
                <c:pt idx="230">
                  <c:v>0.08632159491470844</c:v>
                </c:pt>
                <c:pt idx="231">
                  <c:v>0.08968668561037489</c:v>
                </c:pt>
                <c:pt idx="232">
                  <c:v>0.09301833502122761</c:v>
                </c:pt>
                <c:pt idx="233">
                  <c:v>0.09631693698297454</c:v>
                </c:pt>
                <c:pt idx="234">
                  <c:v>0.09958287930567195</c:v>
                </c:pt>
                <c:pt idx="235">
                  <c:v>0.10281654389877772</c:v>
                </c:pt>
                <c:pt idx="236">
                  <c:v>0.10601830689279992</c:v>
                </c:pt>
                <c:pt idx="237">
                  <c:v>0.10918853875764441</c:v>
                </c:pt>
                <c:pt idx="238">
                  <c:v>0.11232760441777472</c:v>
                </c:pt>
                <c:pt idx="239">
                  <c:v>0.11543586336429953</c:v>
                </c:pt>
                <c:pt idx="240">
                  <c:v>0.11851366976407575</c:v>
                </c:pt>
                <c:pt idx="241">
                  <c:v>0.12156137256593737</c:v>
                </c:pt>
                <c:pt idx="242">
                  <c:v>0.12457931560413911</c:v>
                </c:pt>
                <c:pt idx="243">
                  <c:v>0.12756783769910526</c:v>
                </c:pt>
                <c:pt idx="244">
                  <c:v>0.13056000023560002</c:v>
                </c:pt>
                <c:pt idx="245">
                  <c:v>0.133523037166606</c:v>
                </c:pt>
                <c:pt idx="246">
                  <c:v>0.1364899097139255</c:v>
                </c:pt>
                <c:pt idx="247">
                  <c:v>0.13939536294356542</c:v>
                </c:pt>
                <c:pt idx="248">
                  <c:v>0.1422726686316291</c:v>
                </c:pt>
                <c:pt idx="249">
                  <c:v>0.14512214233828757</c:v>
                </c:pt>
                <c:pt idx="250">
                  <c:v>0.1540759598592642</c:v>
                </c:pt>
                <c:pt idx="251">
                  <c:v>0.1567642385980163</c:v>
                </c:pt>
                <c:pt idx="252">
                  <c:v>0.15942677777098083</c:v>
                </c:pt>
                <c:pt idx="253">
                  <c:v>0.16206385950687008</c:v>
                </c:pt>
                <c:pt idx="254">
                  <c:v>0.16467576208352683</c:v>
                </c:pt>
                <c:pt idx="255">
                  <c:v>0.16726275999729906</c:v>
                </c:pt>
                <c:pt idx="256">
                  <c:v>0.16982512403078318</c:v>
                </c:pt>
                <c:pt idx="257">
                  <c:v>0.17236312131897677</c:v>
                </c:pt>
                <c:pt idx="258">
                  <c:v>0.17487701541389142</c:v>
                </c:pt>
                <c:pt idx="259">
                  <c:v>0.17736706634766802</c:v>
                </c:pt>
                <c:pt idx="260">
                  <c:v>0.17983353069423927</c:v>
                </c:pt>
                <c:pt idx="261">
                  <c:v>0.18227666162957873</c:v>
                </c:pt>
                <c:pt idx="262">
                  <c:v>0.18469670899058258</c:v>
                </c:pt>
                <c:pt idx="263">
                  <c:v>0.18709391933261357</c:v>
                </c:pt>
                <c:pt idx="264">
                  <c:v>0.18946853598575572</c:v>
                </c:pt>
                <c:pt idx="265">
                  <c:v>0.19182079910980676</c:v>
                </c:pt>
                <c:pt idx="266">
                  <c:v>0.19415094574804853</c:v>
                </c:pt>
                <c:pt idx="267">
                  <c:v>0.19645920987982876</c:v>
                </c:pt>
                <c:pt idx="268">
                  <c:v>0.19874582247198644</c:v>
                </c:pt>
                <c:pt idx="269">
                  <c:v>0.20101101152915035</c:v>
                </c:pt>
                <c:pt idx="270">
                  <c:v>0.20325500214294662</c:v>
                </c:pt>
                <c:pt idx="271">
                  <c:v>0.20547801654014136</c:v>
                </c:pt>
                <c:pt idx="272">
                  <c:v>0.20768027412974602</c:v>
                </c:pt>
                <c:pt idx="273">
                  <c:v>0.20986199154911703</c:v>
                </c:pt>
                <c:pt idx="274">
                  <c:v>0.21202338270907362</c:v>
                </c:pt>
                <c:pt idx="275">
                  <c:v>0.21416465883806238</c:v>
                </c:pt>
                <c:pt idx="276">
                  <c:v>0.2162860285253913</c:v>
                </c:pt>
                <c:pt idx="277">
                  <c:v>0.21838769776355918</c:v>
                </c:pt>
                <c:pt idx="278">
                  <c:v>0.22046986998970297</c:v>
                </c:pt>
                <c:pt idx="279">
                  <c:v>0.22253274612618923</c:v>
                </c:pt>
                <c:pt idx="280">
                  <c:v>0.22457652462036634</c:v>
                </c:pt>
                <c:pt idx="281">
                  <c:v>0.22660140148350505</c:v>
                </c:pt>
                <c:pt idx="282">
                  <c:v>0.2286075703289437</c:v>
                </c:pt>
                <c:pt idx="283">
                  <c:v>0.23059522240945965</c:v>
                </c:pt>
                <c:pt idx="284">
                  <c:v>0.232564546653888</c:v>
                </c:pt>
                <c:pt idx="285">
                  <c:v>0.2345157297030056</c:v>
                </c:pt>
                <c:pt idx="286">
                  <c:v>0.23644895594469786</c:v>
                </c:pt>
                <c:pt idx="287">
                  <c:v>0.23836440754842642</c:v>
                </c:pt>
                <c:pt idx="288">
                  <c:v>0.2402622644990187</c:v>
                </c:pt>
                <c:pt idx="289">
                  <c:v>0.2421427046297893</c:v>
                </c:pt>
                <c:pt idx="290">
                  <c:v>0.24400590365501698</c:v>
                </c:pt>
                <c:pt idx="291">
                  <c:v>0.24585203520178608</c:v>
                </c:pt>
                <c:pt idx="292">
                  <c:v>0.24768127084121444</c:v>
                </c:pt>
                <c:pt idx="293">
                  <c:v>0.2494937801190781</c:v>
                </c:pt>
                <c:pt idx="294">
                  <c:v>0.251289730585848</c:v>
                </c:pt>
                <c:pt idx="295">
                  <c:v>0.253069287826157</c:v>
                </c:pt>
                <c:pt idx="296">
                  <c:v>0.2548326154877004</c:v>
                </c:pt>
                <c:pt idx="297">
                  <c:v>0.2565798753095993</c:v>
                </c:pt>
                <c:pt idx="298">
                  <c:v>0.2583112271502243</c:v>
                </c:pt>
                <c:pt idx="299">
                  <c:v>0.2600268290145007</c:v>
                </c:pt>
                <c:pt idx="300">
                  <c:v>0.2617268370807035</c:v>
                </c:pt>
                <c:pt idx="301">
                  <c:v>0.26341140572676053</c:v>
                </c:pt>
                <c:pt idx="302">
                  <c:v>0.2650806875560643</c:v>
                </c:pt>
                <c:pt idx="303">
                  <c:v>0.2667348334228133</c:v>
                </c:pt>
                <c:pt idx="304">
                  <c:v>0.26837399245689053</c:v>
                </c:pt>
                <c:pt idx="305">
                  <c:v>0.26999831208828834</c:v>
                </c:pt>
                <c:pt idx="306">
                  <c:v>0.2716079380710924</c:v>
                </c:pt>
                <c:pt idx="307">
                  <c:v>0.27320301450703083</c:v>
                </c:pt>
                <c:pt idx="308">
                  <c:v>0.27478368386860397</c:v>
                </c:pt>
                <c:pt idx="309">
                  <c:v>0.27635008702180114</c:v>
                </c:pt>
                <c:pt idx="310">
                  <c:v>0.27790236324841044</c:v>
                </c:pt>
                <c:pt idx="311">
                  <c:v>0.2794406502679381</c:v>
                </c:pt>
                <c:pt idx="312">
                  <c:v>0.2809650842591391</c:v>
                </c:pt>
                <c:pt idx="313">
                  <c:v>0.2824757998811705</c:v>
                </c:pt>
                <c:pt idx="314">
                  <c:v>0.2839729302943776</c:v>
                </c:pt>
                <c:pt idx="315">
                  <c:v>0.2854566071807153</c:v>
                </c:pt>
                <c:pt idx="316">
                  <c:v>0.2869269607638209</c:v>
                </c:pt>
                <c:pt idx="317">
                  <c:v>0.28838411982873724</c:v>
                </c:pt>
                <c:pt idx="318">
                  <c:v>0.2898282117413001</c:v>
                </c:pt>
                <c:pt idx="319">
                  <c:v>0.29125936246719303</c:v>
                </c:pt>
                <c:pt idx="320">
                  <c:v>0.29267769659067966</c:v>
                </c:pt>
                <c:pt idx="321">
                  <c:v>0.29408333733301817</c:v>
                </c:pt>
                <c:pt idx="322">
                  <c:v>0.29547640657056545</c:v>
                </c:pt>
                <c:pt idx="323">
                  <c:v>0.29685702485257875</c:v>
                </c:pt>
                <c:pt idx="324">
                  <c:v>0.29822531141871833</c:v>
                </c:pt>
                <c:pt idx="325">
                  <c:v>0.29958138421625874</c:v>
                </c:pt>
                <c:pt idx="326">
                  <c:v>0.30092535991701824</c:v>
                </c:pt>
                <c:pt idx="327">
                  <c:v>0.302257353934005</c:v>
                </c:pt>
                <c:pt idx="328">
                  <c:v>0.3035774804377919</c:v>
                </c:pt>
                <c:pt idx="329">
                  <c:v>0.30488585237262256</c:v>
                </c:pt>
                <c:pt idx="330">
                  <c:v>0.30618258147225713</c:v>
                </c:pt>
                <c:pt idx="331">
                  <c:v>0.30746777827555705</c:v>
                </c:pt>
                <c:pt idx="332">
                  <c:v>0.3087415521418239</c:v>
                </c:pt>
                <c:pt idx="333">
                  <c:v>0.310004011265884</c:v>
                </c:pt>
                <c:pt idx="334">
                  <c:v>0.3112552626929383</c:v>
                </c:pt>
                <c:pt idx="335">
                  <c:v>0.3124954123331713</c:v>
                </c:pt>
                <c:pt idx="336">
                  <c:v>0.31372456497612844</c:v>
                </c:pt>
                <c:pt idx="337">
                  <c:v>0.31494282430486603</c:v>
                </c:pt>
                <c:pt idx="338">
                  <c:v>0.31615029290988006</c:v>
                </c:pt>
                <c:pt idx="339">
                  <c:v>0.3173470723028113</c:v>
                </c:pt>
                <c:pt idx="340">
                  <c:v>0.31853326292994155</c:v>
                </c:pt>
                <c:pt idx="341">
                  <c:v>0.3197089641854758</c:v>
                </c:pt>
                <c:pt idx="342">
                  <c:v>0.3208742744246206</c:v>
                </c:pt>
                <c:pt idx="343">
                  <c:v>0.3220292909764582</c:v>
                </c:pt>
                <c:pt idx="344">
                  <c:v>0.3231741101566243</c:v>
                </c:pt>
                <c:pt idx="345">
                  <c:v>0.32430882727978866</c:v>
                </c:pt>
                <c:pt idx="346">
                  <c:v>0.3254335366719499</c:v>
                </c:pt>
                <c:pt idx="347">
                  <c:v>0.3265483316825356</c:v>
                </c:pt>
                <c:pt idx="348">
                  <c:v>0.32765330469632714</c:v>
                </c:pt>
                <c:pt idx="349">
                  <c:v>0.32874854714519824</c:v>
                </c:pt>
                <c:pt idx="350">
                  <c:v>0.3298341495196786</c:v>
                </c:pt>
              </c:numCache>
            </c:numRef>
          </c:val>
          <c:smooth val="0"/>
        </c:ser>
        <c:marker val="1"/>
        <c:axId val="55981321"/>
        <c:axId val="34069842"/>
      </c:lineChart>
      <c:catAx>
        <c:axId val="55981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069842"/>
        <c:crosses val="autoZero"/>
        <c:auto val="1"/>
        <c:lblOffset val="100"/>
        <c:tickLblSkip val="10"/>
        <c:noMultiLvlLbl val="0"/>
      </c:catAx>
      <c:valAx>
        <c:axId val="340698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9813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1"/>
          <c:y val="0.19575"/>
          <c:w val="0.084"/>
          <c:h val="0.18225"/>
        </c:manualLayout>
      </c:layout>
      <c:overlay val="0"/>
      <c:spPr>
        <a:noFill/>
      </c:spPr>
    </c:legend>
    <c:plotVisOnly val="1"/>
    <c:dispBlanksAs val="zero"/>
    <c:showDLblsOverMax val="0"/>
  </c:chart>
  <c:spPr>
    <a:solidFill>
      <a:srgbClr val="FFFF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Emissioni e assorbimenti CO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(ppm)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4175"/>
          <c:w val="0.96875"/>
          <c:h val="0.83725"/>
        </c:manualLayout>
      </c:layout>
      <c:lineChart>
        <c:grouping val="standard"/>
        <c:varyColors val="0"/>
        <c:ser>
          <c:idx val="0"/>
          <c:order val="0"/>
          <c:tx>
            <c:v>Emissioni comb. fossili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modello!$F$4:$F$354</c:f>
              <c:numCache>
                <c:ptCount val="351"/>
                <c:pt idx="0">
                  <c:v>1750</c:v>
                </c:pt>
                <c:pt idx="1">
                  <c:v>1751</c:v>
                </c:pt>
                <c:pt idx="2">
                  <c:v>1752</c:v>
                </c:pt>
                <c:pt idx="3">
                  <c:v>1753</c:v>
                </c:pt>
                <c:pt idx="4">
                  <c:v>1754</c:v>
                </c:pt>
                <c:pt idx="5">
                  <c:v>1755</c:v>
                </c:pt>
                <c:pt idx="6">
                  <c:v>1756</c:v>
                </c:pt>
                <c:pt idx="7">
                  <c:v>1757</c:v>
                </c:pt>
                <c:pt idx="8">
                  <c:v>1758</c:v>
                </c:pt>
                <c:pt idx="9">
                  <c:v>1759</c:v>
                </c:pt>
                <c:pt idx="10">
                  <c:v>1760</c:v>
                </c:pt>
                <c:pt idx="11">
                  <c:v>1761</c:v>
                </c:pt>
                <c:pt idx="12">
                  <c:v>1762</c:v>
                </c:pt>
                <c:pt idx="13">
                  <c:v>1763</c:v>
                </c:pt>
                <c:pt idx="14">
                  <c:v>1764</c:v>
                </c:pt>
                <c:pt idx="15">
                  <c:v>1765</c:v>
                </c:pt>
                <c:pt idx="16">
                  <c:v>1766</c:v>
                </c:pt>
                <c:pt idx="17">
                  <c:v>1767</c:v>
                </c:pt>
                <c:pt idx="18">
                  <c:v>1768</c:v>
                </c:pt>
                <c:pt idx="19">
                  <c:v>1769</c:v>
                </c:pt>
                <c:pt idx="20">
                  <c:v>1770</c:v>
                </c:pt>
                <c:pt idx="21">
                  <c:v>1771</c:v>
                </c:pt>
                <c:pt idx="22">
                  <c:v>1772</c:v>
                </c:pt>
                <c:pt idx="23">
                  <c:v>1773</c:v>
                </c:pt>
                <c:pt idx="24">
                  <c:v>1774</c:v>
                </c:pt>
                <c:pt idx="25">
                  <c:v>1775</c:v>
                </c:pt>
                <c:pt idx="26">
                  <c:v>1776</c:v>
                </c:pt>
                <c:pt idx="27">
                  <c:v>1777</c:v>
                </c:pt>
                <c:pt idx="28">
                  <c:v>1778</c:v>
                </c:pt>
                <c:pt idx="29">
                  <c:v>1779</c:v>
                </c:pt>
                <c:pt idx="30">
                  <c:v>1780</c:v>
                </c:pt>
                <c:pt idx="31">
                  <c:v>1781</c:v>
                </c:pt>
                <c:pt idx="32">
                  <c:v>1782</c:v>
                </c:pt>
                <c:pt idx="33">
                  <c:v>1783</c:v>
                </c:pt>
                <c:pt idx="34">
                  <c:v>1784</c:v>
                </c:pt>
                <c:pt idx="35">
                  <c:v>1785</c:v>
                </c:pt>
                <c:pt idx="36">
                  <c:v>1786</c:v>
                </c:pt>
                <c:pt idx="37">
                  <c:v>1787</c:v>
                </c:pt>
                <c:pt idx="38">
                  <c:v>1788</c:v>
                </c:pt>
                <c:pt idx="39">
                  <c:v>1789</c:v>
                </c:pt>
                <c:pt idx="40">
                  <c:v>1790</c:v>
                </c:pt>
                <c:pt idx="41">
                  <c:v>1791</c:v>
                </c:pt>
                <c:pt idx="42">
                  <c:v>1792</c:v>
                </c:pt>
                <c:pt idx="43">
                  <c:v>1793</c:v>
                </c:pt>
                <c:pt idx="44">
                  <c:v>1794</c:v>
                </c:pt>
                <c:pt idx="45">
                  <c:v>1795</c:v>
                </c:pt>
                <c:pt idx="46">
                  <c:v>1796</c:v>
                </c:pt>
                <c:pt idx="47">
                  <c:v>1797</c:v>
                </c:pt>
                <c:pt idx="48">
                  <c:v>1798</c:v>
                </c:pt>
                <c:pt idx="49">
                  <c:v>1799</c:v>
                </c:pt>
                <c:pt idx="50">
                  <c:v>1800</c:v>
                </c:pt>
                <c:pt idx="51">
                  <c:v>1801</c:v>
                </c:pt>
                <c:pt idx="52">
                  <c:v>1802</c:v>
                </c:pt>
                <c:pt idx="53">
                  <c:v>1803</c:v>
                </c:pt>
                <c:pt idx="54">
                  <c:v>1804</c:v>
                </c:pt>
                <c:pt idx="55">
                  <c:v>1805</c:v>
                </c:pt>
                <c:pt idx="56">
                  <c:v>1806</c:v>
                </c:pt>
                <c:pt idx="57">
                  <c:v>1807</c:v>
                </c:pt>
                <c:pt idx="58">
                  <c:v>1808</c:v>
                </c:pt>
                <c:pt idx="59">
                  <c:v>1809</c:v>
                </c:pt>
                <c:pt idx="60">
                  <c:v>1810</c:v>
                </c:pt>
                <c:pt idx="61">
                  <c:v>1811</c:v>
                </c:pt>
                <c:pt idx="62">
                  <c:v>1812</c:v>
                </c:pt>
                <c:pt idx="63">
                  <c:v>1813</c:v>
                </c:pt>
                <c:pt idx="64">
                  <c:v>1814</c:v>
                </c:pt>
                <c:pt idx="65">
                  <c:v>1815</c:v>
                </c:pt>
                <c:pt idx="66">
                  <c:v>1816</c:v>
                </c:pt>
                <c:pt idx="67">
                  <c:v>1817</c:v>
                </c:pt>
                <c:pt idx="68">
                  <c:v>1818</c:v>
                </c:pt>
                <c:pt idx="69">
                  <c:v>1819</c:v>
                </c:pt>
                <c:pt idx="70">
                  <c:v>1820</c:v>
                </c:pt>
                <c:pt idx="71">
                  <c:v>1821</c:v>
                </c:pt>
                <c:pt idx="72">
                  <c:v>1822</c:v>
                </c:pt>
                <c:pt idx="73">
                  <c:v>1823</c:v>
                </c:pt>
                <c:pt idx="74">
                  <c:v>1824</c:v>
                </c:pt>
                <c:pt idx="75">
                  <c:v>1825</c:v>
                </c:pt>
                <c:pt idx="76">
                  <c:v>1826</c:v>
                </c:pt>
                <c:pt idx="77">
                  <c:v>1827</c:v>
                </c:pt>
                <c:pt idx="78">
                  <c:v>1828</c:v>
                </c:pt>
                <c:pt idx="79">
                  <c:v>1829</c:v>
                </c:pt>
                <c:pt idx="80">
                  <c:v>1830</c:v>
                </c:pt>
                <c:pt idx="81">
                  <c:v>1831</c:v>
                </c:pt>
                <c:pt idx="82">
                  <c:v>1832</c:v>
                </c:pt>
                <c:pt idx="83">
                  <c:v>1833</c:v>
                </c:pt>
                <c:pt idx="84">
                  <c:v>1834</c:v>
                </c:pt>
                <c:pt idx="85">
                  <c:v>1835</c:v>
                </c:pt>
                <c:pt idx="86">
                  <c:v>1836</c:v>
                </c:pt>
                <c:pt idx="87">
                  <c:v>1837</c:v>
                </c:pt>
                <c:pt idx="88">
                  <c:v>1838</c:v>
                </c:pt>
                <c:pt idx="89">
                  <c:v>1839</c:v>
                </c:pt>
                <c:pt idx="90">
                  <c:v>1840</c:v>
                </c:pt>
                <c:pt idx="91">
                  <c:v>1841</c:v>
                </c:pt>
                <c:pt idx="92">
                  <c:v>1842</c:v>
                </c:pt>
                <c:pt idx="93">
                  <c:v>1843</c:v>
                </c:pt>
                <c:pt idx="94">
                  <c:v>1844</c:v>
                </c:pt>
                <c:pt idx="95">
                  <c:v>1845</c:v>
                </c:pt>
                <c:pt idx="96">
                  <c:v>1846</c:v>
                </c:pt>
                <c:pt idx="97">
                  <c:v>1847</c:v>
                </c:pt>
                <c:pt idx="98">
                  <c:v>1848</c:v>
                </c:pt>
                <c:pt idx="99">
                  <c:v>1849</c:v>
                </c:pt>
                <c:pt idx="100">
                  <c:v>1850</c:v>
                </c:pt>
                <c:pt idx="101">
                  <c:v>1851</c:v>
                </c:pt>
                <c:pt idx="102">
                  <c:v>1852</c:v>
                </c:pt>
                <c:pt idx="103">
                  <c:v>1853</c:v>
                </c:pt>
                <c:pt idx="104">
                  <c:v>1854</c:v>
                </c:pt>
                <c:pt idx="105">
                  <c:v>1855</c:v>
                </c:pt>
                <c:pt idx="106">
                  <c:v>1856</c:v>
                </c:pt>
                <c:pt idx="107">
                  <c:v>1857</c:v>
                </c:pt>
                <c:pt idx="108">
                  <c:v>1858</c:v>
                </c:pt>
                <c:pt idx="109">
                  <c:v>1859</c:v>
                </c:pt>
                <c:pt idx="110">
                  <c:v>1860</c:v>
                </c:pt>
                <c:pt idx="111">
                  <c:v>1861</c:v>
                </c:pt>
                <c:pt idx="112">
                  <c:v>1862</c:v>
                </c:pt>
                <c:pt idx="113">
                  <c:v>1863</c:v>
                </c:pt>
                <c:pt idx="114">
                  <c:v>1864</c:v>
                </c:pt>
                <c:pt idx="115">
                  <c:v>1865</c:v>
                </c:pt>
                <c:pt idx="116">
                  <c:v>1866</c:v>
                </c:pt>
                <c:pt idx="117">
                  <c:v>1867</c:v>
                </c:pt>
                <c:pt idx="118">
                  <c:v>1868</c:v>
                </c:pt>
                <c:pt idx="119">
                  <c:v>1869</c:v>
                </c:pt>
                <c:pt idx="120">
                  <c:v>1870</c:v>
                </c:pt>
                <c:pt idx="121">
                  <c:v>1871</c:v>
                </c:pt>
                <c:pt idx="122">
                  <c:v>1872</c:v>
                </c:pt>
                <c:pt idx="123">
                  <c:v>1873</c:v>
                </c:pt>
                <c:pt idx="124">
                  <c:v>1874</c:v>
                </c:pt>
                <c:pt idx="125">
                  <c:v>1875</c:v>
                </c:pt>
                <c:pt idx="126">
                  <c:v>1876</c:v>
                </c:pt>
                <c:pt idx="127">
                  <c:v>1877</c:v>
                </c:pt>
                <c:pt idx="128">
                  <c:v>1878</c:v>
                </c:pt>
                <c:pt idx="129">
                  <c:v>1879</c:v>
                </c:pt>
                <c:pt idx="130">
                  <c:v>1880</c:v>
                </c:pt>
                <c:pt idx="131">
                  <c:v>1881</c:v>
                </c:pt>
                <c:pt idx="132">
                  <c:v>1882</c:v>
                </c:pt>
                <c:pt idx="133">
                  <c:v>1883</c:v>
                </c:pt>
                <c:pt idx="134">
                  <c:v>1884</c:v>
                </c:pt>
                <c:pt idx="135">
                  <c:v>1885</c:v>
                </c:pt>
                <c:pt idx="136">
                  <c:v>1886</c:v>
                </c:pt>
                <c:pt idx="137">
                  <c:v>1887</c:v>
                </c:pt>
                <c:pt idx="138">
                  <c:v>1888</c:v>
                </c:pt>
                <c:pt idx="139">
                  <c:v>1889</c:v>
                </c:pt>
                <c:pt idx="140">
                  <c:v>1890</c:v>
                </c:pt>
                <c:pt idx="141">
                  <c:v>1891</c:v>
                </c:pt>
                <c:pt idx="142">
                  <c:v>1892</c:v>
                </c:pt>
                <c:pt idx="143">
                  <c:v>1893</c:v>
                </c:pt>
                <c:pt idx="144">
                  <c:v>1894</c:v>
                </c:pt>
                <c:pt idx="145">
                  <c:v>1895</c:v>
                </c:pt>
                <c:pt idx="146">
                  <c:v>1896</c:v>
                </c:pt>
                <c:pt idx="147">
                  <c:v>1897</c:v>
                </c:pt>
                <c:pt idx="148">
                  <c:v>1898</c:v>
                </c:pt>
                <c:pt idx="149">
                  <c:v>1899</c:v>
                </c:pt>
                <c:pt idx="150">
                  <c:v>1900</c:v>
                </c:pt>
                <c:pt idx="151">
                  <c:v>1901</c:v>
                </c:pt>
                <c:pt idx="152">
                  <c:v>1902</c:v>
                </c:pt>
                <c:pt idx="153">
                  <c:v>1903</c:v>
                </c:pt>
                <c:pt idx="154">
                  <c:v>1904</c:v>
                </c:pt>
                <c:pt idx="155">
                  <c:v>1905</c:v>
                </c:pt>
                <c:pt idx="156">
                  <c:v>1906</c:v>
                </c:pt>
                <c:pt idx="157">
                  <c:v>1907</c:v>
                </c:pt>
                <c:pt idx="158">
                  <c:v>1908</c:v>
                </c:pt>
                <c:pt idx="159">
                  <c:v>1909</c:v>
                </c:pt>
                <c:pt idx="160">
                  <c:v>1910</c:v>
                </c:pt>
                <c:pt idx="161">
                  <c:v>1911</c:v>
                </c:pt>
                <c:pt idx="162">
                  <c:v>1912</c:v>
                </c:pt>
                <c:pt idx="163">
                  <c:v>1913</c:v>
                </c:pt>
                <c:pt idx="164">
                  <c:v>1914</c:v>
                </c:pt>
                <c:pt idx="165">
                  <c:v>1915</c:v>
                </c:pt>
                <c:pt idx="166">
                  <c:v>1916</c:v>
                </c:pt>
                <c:pt idx="167">
                  <c:v>1917</c:v>
                </c:pt>
                <c:pt idx="168">
                  <c:v>1918</c:v>
                </c:pt>
                <c:pt idx="169">
                  <c:v>1919</c:v>
                </c:pt>
                <c:pt idx="170">
                  <c:v>1920</c:v>
                </c:pt>
                <c:pt idx="171">
                  <c:v>1921</c:v>
                </c:pt>
                <c:pt idx="172">
                  <c:v>1922</c:v>
                </c:pt>
                <c:pt idx="173">
                  <c:v>1923</c:v>
                </c:pt>
                <c:pt idx="174">
                  <c:v>1924</c:v>
                </c:pt>
                <c:pt idx="175">
                  <c:v>1925</c:v>
                </c:pt>
                <c:pt idx="176">
                  <c:v>1926</c:v>
                </c:pt>
                <c:pt idx="177">
                  <c:v>1927</c:v>
                </c:pt>
                <c:pt idx="178">
                  <c:v>1928</c:v>
                </c:pt>
                <c:pt idx="179">
                  <c:v>1929</c:v>
                </c:pt>
                <c:pt idx="180">
                  <c:v>1930</c:v>
                </c:pt>
                <c:pt idx="181">
                  <c:v>1931</c:v>
                </c:pt>
                <c:pt idx="182">
                  <c:v>1932</c:v>
                </c:pt>
                <c:pt idx="183">
                  <c:v>1933</c:v>
                </c:pt>
                <c:pt idx="184">
                  <c:v>1934</c:v>
                </c:pt>
                <c:pt idx="185">
                  <c:v>1935</c:v>
                </c:pt>
                <c:pt idx="186">
                  <c:v>1936</c:v>
                </c:pt>
                <c:pt idx="187">
                  <c:v>1937</c:v>
                </c:pt>
                <c:pt idx="188">
                  <c:v>1938</c:v>
                </c:pt>
                <c:pt idx="189">
                  <c:v>1939</c:v>
                </c:pt>
                <c:pt idx="190">
                  <c:v>1940</c:v>
                </c:pt>
                <c:pt idx="191">
                  <c:v>1941</c:v>
                </c:pt>
                <c:pt idx="192">
                  <c:v>1942</c:v>
                </c:pt>
                <c:pt idx="193">
                  <c:v>1943</c:v>
                </c:pt>
                <c:pt idx="194">
                  <c:v>1944</c:v>
                </c:pt>
                <c:pt idx="195">
                  <c:v>1945</c:v>
                </c:pt>
                <c:pt idx="196">
                  <c:v>1946</c:v>
                </c:pt>
                <c:pt idx="197">
                  <c:v>1947</c:v>
                </c:pt>
                <c:pt idx="198">
                  <c:v>1948</c:v>
                </c:pt>
                <c:pt idx="199">
                  <c:v>1949</c:v>
                </c:pt>
                <c:pt idx="200">
                  <c:v>1950</c:v>
                </c:pt>
                <c:pt idx="201">
                  <c:v>1951</c:v>
                </c:pt>
                <c:pt idx="202">
                  <c:v>1952</c:v>
                </c:pt>
                <c:pt idx="203">
                  <c:v>1953</c:v>
                </c:pt>
                <c:pt idx="204">
                  <c:v>1954</c:v>
                </c:pt>
                <c:pt idx="205">
                  <c:v>1955</c:v>
                </c:pt>
                <c:pt idx="206">
                  <c:v>1956</c:v>
                </c:pt>
                <c:pt idx="207">
                  <c:v>1957</c:v>
                </c:pt>
                <c:pt idx="208">
                  <c:v>1958</c:v>
                </c:pt>
                <c:pt idx="209">
                  <c:v>1959</c:v>
                </c:pt>
                <c:pt idx="210">
                  <c:v>1960</c:v>
                </c:pt>
                <c:pt idx="211">
                  <c:v>1961</c:v>
                </c:pt>
                <c:pt idx="212">
                  <c:v>1962</c:v>
                </c:pt>
                <c:pt idx="213">
                  <c:v>1963</c:v>
                </c:pt>
                <c:pt idx="214">
                  <c:v>1964</c:v>
                </c:pt>
                <c:pt idx="215">
                  <c:v>1965</c:v>
                </c:pt>
                <c:pt idx="216">
                  <c:v>1966</c:v>
                </c:pt>
                <c:pt idx="217">
                  <c:v>1967</c:v>
                </c:pt>
                <c:pt idx="218">
                  <c:v>1968</c:v>
                </c:pt>
                <c:pt idx="219">
                  <c:v>1969</c:v>
                </c:pt>
                <c:pt idx="220">
                  <c:v>1970</c:v>
                </c:pt>
                <c:pt idx="221">
                  <c:v>1971</c:v>
                </c:pt>
                <c:pt idx="222">
                  <c:v>1972</c:v>
                </c:pt>
                <c:pt idx="223">
                  <c:v>1973</c:v>
                </c:pt>
                <c:pt idx="224">
                  <c:v>1974</c:v>
                </c:pt>
                <c:pt idx="225">
                  <c:v>1975</c:v>
                </c:pt>
                <c:pt idx="226">
                  <c:v>1976</c:v>
                </c:pt>
                <c:pt idx="227">
                  <c:v>1977</c:v>
                </c:pt>
                <c:pt idx="228">
                  <c:v>1978</c:v>
                </c:pt>
                <c:pt idx="229">
                  <c:v>1979</c:v>
                </c:pt>
                <c:pt idx="230">
                  <c:v>1980</c:v>
                </c:pt>
                <c:pt idx="231">
                  <c:v>1981</c:v>
                </c:pt>
                <c:pt idx="232">
                  <c:v>1982</c:v>
                </c:pt>
                <c:pt idx="233">
                  <c:v>1983</c:v>
                </c:pt>
                <c:pt idx="234">
                  <c:v>1984</c:v>
                </c:pt>
                <c:pt idx="235">
                  <c:v>1985</c:v>
                </c:pt>
                <c:pt idx="236">
                  <c:v>1986</c:v>
                </c:pt>
                <c:pt idx="237">
                  <c:v>1987</c:v>
                </c:pt>
                <c:pt idx="238">
                  <c:v>1988</c:v>
                </c:pt>
                <c:pt idx="239">
                  <c:v>1989</c:v>
                </c:pt>
                <c:pt idx="240">
                  <c:v>1990</c:v>
                </c:pt>
                <c:pt idx="241">
                  <c:v>1991</c:v>
                </c:pt>
                <c:pt idx="242">
                  <c:v>1992</c:v>
                </c:pt>
                <c:pt idx="243">
                  <c:v>1993</c:v>
                </c:pt>
                <c:pt idx="244">
                  <c:v>1994</c:v>
                </c:pt>
                <c:pt idx="245">
                  <c:v>1995</c:v>
                </c:pt>
                <c:pt idx="246">
                  <c:v>1996</c:v>
                </c:pt>
                <c:pt idx="247">
                  <c:v>1997</c:v>
                </c:pt>
                <c:pt idx="248">
                  <c:v>1998</c:v>
                </c:pt>
                <c:pt idx="249">
                  <c:v>1999</c:v>
                </c:pt>
                <c:pt idx="250">
                  <c:v>2000</c:v>
                </c:pt>
                <c:pt idx="251">
                  <c:v>2001</c:v>
                </c:pt>
                <c:pt idx="252">
                  <c:v>2002</c:v>
                </c:pt>
                <c:pt idx="253">
                  <c:v>2003</c:v>
                </c:pt>
                <c:pt idx="254">
                  <c:v>2004</c:v>
                </c:pt>
                <c:pt idx="255">
                  <c:v>2005</c:v>
                </c:pt>
                <c:pt idx="256">
                  <c:v>2006</c:v>
                </c:pt>
                <c:pt idx="257">
                  <c:v>2007</c:v>
                </c:pt>
                <c:pt idx="258">
                  <c:v>2008</c:v>
                </c:pt>
                <c:pt idx="259">
                  <c:v>2009</c:v>
                </c:pt>
                <c:pt idx="260">
                  <c:v>2010</c:v>
                </c:pt>
                <c:pt idx="261">
                  <c:v>2011</c:v>
                </c:pt>
                <c:pt idx="262">
                  <c:v>2012</c:v>
                </c:pt>
                <c:pt idx="263">
                  <c:v>2013</c:v>
                </c:pt>
                <c:pt idx="264">
                  <c:v>2014</c:v>
                </c:pt>
                <c:pt idx="265">
                  <c:v>2015</c:v>
                </c:pt>
                <c:pt idx="266">
                  <c:v>2016</c:v>
                </c:pt>
                <c:pt idx="267">
                  <c:v>2017</c:v>
                </c:pt>
                <c:pt idx="268">
                  <c:v>2018</c:v>
                </c:pt>
                <c:pt idx="269">
                  <c:v>2019</c:v>
                </c:pt>
                <c:pt idx="270">
                  <c:v>2020</c:v>
                </c:pt>
                <c:pt idx="271">
                  <c:v>2021</c:v>
                </c:pt>
                <c:pt idx="272">
                  <c:v>2022</c:v>
                </c:pt>
                <c:pt idx="273">
                  <c:v>2023</c:v>
                </c:pt>
                <c:pt idx="274">
                  <c:v>2024</c:v>
                </c:pt>
                <c:pt idx="275">
                  <c:v>2025</c:v>
                </c:pt>
                <c:pt idx="276">
                  <c:v>2026</c:v>
                </c:pt>
                <c:pt idx="277">
                  <c:v>2027</c:v>
                </c:pt>
                <c:pt idx="278">
                  <c:v>2028</c:v>
                </c:pt>
                <c:pt idx="279">
                  <c:v>2029</c:v>
                </c:pt>
                <c:pt idx="280">
                  <c:v>2030</c:v>
                </c:pt>
                <c:pt idx="281">
                  <c:v>2031</c:v>
                </c:pt>
                <c:pt idx="282">
                  <c:v>2032</c:v>
                </c:pt>
                <c:pt idx="283">
                  <c:v>2033</c:v>
                </c:pt>
                <c:pt idx="284">
                  <c:v>2034</c:v>
                </c:pt>
                <c:pt idx="285">
                  <c:v>2035</c:v>
                </c:pt>
                <c:pt idx="286">
                  <c:v>2036</c:v>
                </c:pt>
                <c:pt idx="287">
                  <c:v>2037</c:v>
                </c:pt>
                <c:pt idx="288">
                  <c:v>2038</c:v>
                </c:pt>
                <c:pt idx="289">
                  <c:v>2039</c:v>
                </c:pt>
                <c:pt idx="290">
                  <c:v>2040</c:v>
                </c:pt>
                <c:pt idx="291">
                  <c:v>2041</c:v>
                </c:pt>
                <c:pt idx="292">
                  <c:v>2042</c:v>
                </c:pt>
                <c:pt idx="293">
                  <c:v>2043</c:v>
                </c:pt>
                <c:pt idx="294">
                  <c:v>2044</c:v>
                </c:pt>
                <c:pt idx="295">
                  <c:v>2045</c:v>
                </c:pt>
                <c:pt idx="296">
                  <c:v>2046</c:v>
                </c:pt>
                <c:pt idx="297">
                  <c:v>2047</c:v>
                </c:pt>
                <c:pt idx="298">
                  <c:v>2048</c:v>
                </c:pt>
                <c:pt idx="299">
                  <c:v>2049</c:v>
                </c:pt>
                <c:pt idx="300">
                  <c:v>2050</c:v>
                </c:pt>
                <c:pt idx="301">
                  <c:v>2051</c:v>
                </c:pt>
                <c:pt idx="302">
                  <c:v>2052</c:v>
                </c:pt>
                <c:pt idx="303">
                  <c:v>2053</c:v>
                </c:pt>
                <c:pt idx="304">
                  <c:v>2054</c:v>
                </c:pt>
                <c:pt idx="305">
                  <c:v>2055</c:v>
                </c:pt>
                <c:pt idx="306">
                  <c:v>2056</c:v>
                </c:pt>
                <c:pt idx="307">
                  <c:v>2057</c:v>
                </c:pt>
                <c:pt idx="308">
                  <c:v>2058</c:v>
                </c:pt>
                <c:pt idx="309">
                  <c:v>2059</c:v>
                </c:pt>
                <c:pt idx="310">
                  <c:v>2060</c:v>
                </c:pt>
                <c:pt idx="311">
                  <c:v>2061</c:v>
                </c:pt>
                <c:pt idx="312">
                  <c:v>2062</c:v>
                </c:pt>
                <c:pt idx="313">
                  <c:v>2063</c:v>
                </c:pt>
                <c:pt idx="314">
                  <c:v>2064</c:v>
                </c:pt>
                <c:pt idx="315">
                  <c:v>2065</c:v>
                </c:pt>
                <c:pt idx="316">
                  <c:v>2066</c:v>
                </c:pt>
                <c:pt idx="317">
                  <c:v>2067</c:v>
                </c:pt>
                <c:pt idx="318">
                  <c:v>2068</c:v>
                </c:pt>
                <c:pt idx="319">
                  <c:v>2069</c:v>
                </c:pt>
                <c:pt idx="320">
                  <c:v>2070</c:v>
                </c:pt>
                <c:pt idx="321">
                  <c:v>2071</c:v>
                </c:pt>
                <c:pt idx="322">
                  <c:v>2072</c:v>
                </c:pt>
                <c:pt idx="323">
                  <c:v>2073</c:v>
                </c:pt>
                <c:pt idx="324">
                  <c:v>2074</c:v>
                </c:pt>
                <c:pt idx="325">
                  <c:v>2075</c:v>
                </c:pt>
                <c:pt idx="326">
                  <c:v>2076</c:v>
                </c:pt>
                <c:pt idx="327">
                  <c:v>2077</c:v>
                </c:pt>
                <c:pt idx="328">
                  <c:v>2078</c:v>
                </c:pt>
                <c:pt idx="329">
                  <c:v>2079</c:v>
                </c:pt>
                <c:pt idx="330">
                  <c:v>2080</c:v>
                </c:pt>
                <c:pt idx="331">
                  <c:v>2081</c:v>
                </c:pt>
                <c:pt idx="332">
                  <c:v>2082</c:v>
                </c:pt>
                <c:pt idx="333">
                  <c:v>2083</c:v>
                </c:pt>
                <c:pt idx="334">
                  <c:v>2084</c:v>
                </c:pt>
                <c:pt idx="335">
                  <c:v>2085</c:v>
                </c:pt>
                <c:pt idx="336">
                  <c:v>2086</c:v>
                </c:pt>
                <c:pt idx="337">
                  <c:v>2087</c:v>
                </c:pt>
                <c:pt idx="338">
                  <c:v>2088</c:v>
                </c:pt>
                <c:pt idx="339">
                  <c:v>2089</c:v>
                </c:pt>
                <c:pt idx="340">
                  <c:v>2090</c:v>
                </c:pt>
                <c:pt idx="341">
                  <c:v>2091</c:v>
                </c:pt>
                <c:pt idx="342">
                  <c:v>2092</c:v>
                </c:pt>
                <c:pt idx="343">
                  <c:v>2093</c:v>
                </c:pt>
                <c:pt idx="344">
                  <c:v>2094</c:v>
                </c:pt>
                <c:pt idx="345">
                  <c:v>2095</c:v>
                </c:pt>
                <c:pt idx="346">
                  <c:v>2096</c:v>
                </c:pt>
                <c:pt idx="347">
                  <c:v>2097</c:v>
                </c:pt>
                <c:pt idx="348">
                  <c:v>2098</c:v>
                </c:pt>
                <c:pt idx="349">
                  <c:v>2099</c:v>
                </c:pt>
                <c:pt idx="350">
                  <c:v>2100</c:v>
                </c:pt>
              </c:numCache>
            </c:numRef>
          </c:cat>
          <c:val>
            <c:numRef>
              <c:f>modello!$G$4:$G$354</c:f>
              <c:numCache>
                <c:ptCount val="3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0.0045</c:v>
                </c:pt>
                <c:pt idx="102">
                  <c:v>0.009</c:v>
                </c:pt>
                <c:pt idx="103">
                  <c:v>0.013499999999999998</c:v>
                </c:pt>
                <c:pt idx="104">
                  <c:v>0.018</c:v>
                </c:pt>
                <c:pt idx="105">
                  <c:v>0.0225</c:v>
                </c:pt>
                <c:pt idx="106">
                  <c:v>0.026999999999999996</c:v>
                </c:pt>
                <c:pt idx="107">
                  <c:v>0.0315</c:v>
                </c:pt>
                <c:pt idx="108">
                  <c:v>0.036</c:v>
                </c:pt>
                <c:pt idx="109">
                  <c:v>0.040499999999999994</c:v>
                </c:pt>
                <c:pt idx="110">
                  <c:v>0.045</c:v>
                </c:pt>
                <c:pt idx="111">
                  <c:v>0.049499999999999995</c:v>
                </c:pt>
                <c:pt idx="112">
                  <c:v>0.05399999999999999</c:v>
                </c:pt>
                <c:pt idx="113">
                  <c:v>0.058499999999999996</c:v>
                </c:pt>
                <c:pt idx="114">
                  <c:v>0.063</c:v>
                </c:pt>
                <c:pt idx="115">
                  <c:v>0.06749999999999999</c:v>
                </c:pt>
                <c:pt idx="116">
                  <c:v>0.072</c:v>
                </c:pt>
                <c:pt idx="117">
                  <c:v>0.0765</c:v>
                </c:pt>
                <c:pt idx="118">
                  <c:v>0.08099999999999999</c:v>
                </c:pt>
                <c:pt idx="119">
                  <c:v>0.08549999999999999</c:v>
                </c:pt>
                <c:pt idx="120">
                  <c:v>0.09</c:v>
                </c:pt>
                <c:pt idx="121">
                  <c:v>0.09449999999999999</c:v>
                </c:pt>
                <c:pt idx="122">
                  <c:v>0.09899999999999999</c:v>
                </c:pt>
                <c:pt idx="123">
                  <c:v>0.1035</c:v>
                </c:pt>
                <c:pt idx="124">
                  <c:v>0.10799999999999998</c:v>
                </c:pt>
                <c:pt idx="125">
                  <c:v>0.11249999999999999</c:v>
                </c:pt>
                <c:pt idx="126">
                  <c:v>0.11699999999999999</c:v>
                </c:pt>
                <c:pt idx="127">
                  <c:v>0.1215</c:v>
                </c:pt>
                <c:pt idx="128">
                  <c:v>0.126</c:v>
                </c:pt>
                <c:pt idx="129">
                  <c:v>0.13049999999999998</c:v>
                </c:pt>
                <c:pt idx="130">
                  <c:v>0.13499999999999998</c:v>
                </c:pt>
                <c:pt idx="131">
                  <c:v>0.13949999999999999</c:v>
                </c:pt>
                <c:pt idx="132">
                  <c:v>0.144</c:v>
                </c:pt>
                <c:pt idx="133">
                  <c:v>0.1485</c:v>
                </c:pt>
                <c:pt idx="134">
                  <c:v>0.153</c:v>
                </c:pt>
                <c:pt idx="135">
                  <c:v>0.1575</c:v>
                </c:pt>
                <c:pt idx="136">
                  <c:v>0.16199999999999998</c:v>
                </c:pt>
                <c:pt idx="137">
                  <c:v>0.16649999999999998</c:v>
                </c:pt>
                <c:pt idx="138">
                  <c:v>0.17099999999999999</c:v>
                </c:pt>
                <c:pt idx="139">
                  <c:v>0.1755</c:v>
                </c:pt>
                <c:pt idx="140">
                  <c:v>0.18</c:v>
                </c:pt>
                <c:pt idx="141">
                  <c:v>0.1845</c:v>
                </c:pt>
                <c:pt idx="142">
                  <c:v>0.18899999999999997</c:v>
                </c:pt>
                <c:pt idx="143">
                  <c:v>0.19349999999999998</c:v>
                </c:pt>
                <c:pt idx="144">
                  <c:v>0.19799999999999998</c:v>
                </c:pt>
                <c:pt idx="145">
                  <c:v>0.20249999999999999</c:v>
                </c:pt>
                <c:pt idx="146">
                  <c:v>0.207</c:v>
                </c:pt>
                <c:pt idx="147">
                  <c:v>0.2115</c:v>
                </c:pt>
                <c:pt idx="148">
                  <c:v>0.21599999999999997</c:v>
                </c:pt>
                <c:pt idx="149">
                  <c:v>0.22049999999999997</c:v>
                </c:pt>
                <c:pt idx="150">
                  <c:v>0.22499999999999998</c:v>
                </c:pt>
                <c:pt idx="151">
                  <c:v>0.23199999999999998</c:v>
                </c:pt>
                <c:pt idx="152">
                  <c:v>0.239</c:v>
                </c:pt>
                <c:pt idx="153">
                  <c:v>0.246</c:v>
                </c:pt>
                <c:pt idx="154">
                  <c:v>0.253</c:v>
                </c:pt>
                <c:pt idx="155">
                  <c:v>0.26</c:v>
                </c:pt>
                <c:pt idx="156">
                  <c:v>0.267</c:v>
                </c:pt>
                <c:pt idx="157">
                  <c:v>0.274</c:v>
                </c:pt>
                <c:pt idx="158">
                  <c:v>0.281</c:v>
                </c:pt>
                <c:pt idx="159">
                  <c:v>0.28800000000000003</c:v>
                </c:pt>
                <c:pt idx="160">
                  <c:v>0.29500000000000004</c:v>
                </c:pt>
                <c:pt idx="161">
                  <c:v>0.30200000000000005</c:v>
                </c:pt>
                <c:pt idx="162">
                  <c:v>0.30900000000000005</c:v>
                </c:pt>
                <c:pt idx="163">
                  <c:v>0.31600000000000006</c:v>
                </c:pt>
                <c:pt idx="164">
                  <c:v>0.32300000000000006</c:v>
                </c:pt>
                <c:pt idx="165">
                  <c:v>0.33000000000000007</c:v>
                </c:pt>
                <c:pt idx="166">
                  <c:v>0.3370000000000001</c:v>
                </c:pt>
                <c:pt idx="167">
                  <c:v>0.3440000000000001</c:v>
                </c:pt>
                <c:pt idx="168">
                  <c:v>0.3510000000000001</c:v>
                </c:pt>
                <c:pt idx="169">
                  <c:v>0.3580000000000001</c:v>
                </c:pt>
                <c:pt idx="170">
                  <c:v>0.3650000000000001</c:v>
                </c:pt>
                <c:pt idx="171">
                  <c:v>0.3720000000000001</c:v>
                </c:pt>
                <c:pt idx="172">
                  <c:v>0.3790000000000001</c:v>
                </c:pt>
                <c:pt idx="173">
                  <c:v>0.3860000000000001</c:v>
                </c:pt>
                <c:pt idx="174">
                  <c:v>0.3930000000000001</c:v>
                </c:pt>
                <c:pt idx="175">
                  <c:v>0.40000000000000013</c:v>
                </c:pt>
                <c:pt idx="176">
                  <c:v>0.40700000000000014</c:v>
                </c:pt>
                <c:pt idx="177">
                  <c:v>0.41400000000000015</c:v>
                </c:pt>
                <c:pt idx="178">
                  <c:v>0.42100000000000015</c:v>
                </c:pt>
                <c:pt idx="179">
                  <c:v>0.42800000000000016</c:v>
                </c:pt>
                <c:pt idx="180">
                  <c:v>0.43500000000000016</c:v>
                </c:pt>
                <c:pt idx="181">
                  <c:v>0.44200000000000017</c:v>
                </c:pt>
                <c:pt idx="182">
                  <c:v>0.4490000000000002</c:v>
                </c:pt>
                <c:pt idx="183">
                  <c:v>0.4560000000000002</c:v>
                </c:pt>
                <c:pt idx="184">
                  <c:v>0.4630000000000002</c:v>
                </c:pt>
                <c:pt idx="185">
                  <c:v>0.4700000000000002</c:v>
                </c:pt>
                <c:pt idx="186">
                  <c:v>0.4770000000000002</c:v>
                </c:pt>
                <c:pt idx="187">
                  <c:v>0.4840000000000002</c:v>
                </c:pt>
                <c:pt idx="188">
                  <c:v>0.4910000000000002</c:v>
                </c:pt>
                <c:pt idx="189">
                  <c:v>0.4980000000000002</c:v>
                </c:pt>
                <c:pt idx="190">
                  <c:v>0.5050000000000002</c:v>
                </c:pt>
                <c:pt idx="191">
                  <c:v>0.5120000000000002</c:v>
                </c:pt>
                <c:pt idx="192">
                  <c:v>0.5190000000000002</c:v>
                </c:pt>
                <c:pt idx="193">
                  <c:v>0.5260000000000002</c:v>
                </c:pt>
                <c:pt idx="194">
                  <c:v>0.5330000000000003</c:v>
                </c:pt>
                <c:pt idx="195">
                  <c:v>0.5400000000000003</c:v>
                </c:pt>
                <c:pt idx="196">
                  <c:v>0.5470000000000003</c:v>
                </c:pt>
                <c:pt idx="197">
                  <c:v>0.5540000000000003</c:v>
                </c:pt>
                <c:pt idx="198">
                  <c:v>0.5610000000000003</c:v>
                </c:pt>
                <c:pt idx="199">
                  <c:v>0.5680000000000003</c:v>
                </c:pt>
                <c:pt idx="200">
                  <c:v>0.5750000000000003</c:v>
                </c:pt>
                <c:pt idx="201">
                  <c:v>0.6480500000000002</c:v>
                </c:pt>
                <c:pt idx="202">
                  <c:v>0.7202000000000003</c:v>
                </c:pt>
                <c:pt idx="203">
                  <c:v>0.7914500000000002</c:v>
                </c:pt>
                <c:pt idx="204">
                  <c:v>0.8618000000000003</c:v>
                </c:pt>
                <c:pt idx="205">
                  <c:v>0.9312500000000004</c:v>
                </c:pt>
                <c:pt idx="206">
                  <c:v>0.9998000000000002</c:v>
                </c:pt>
                <c:pt idx="207">
                  <c:v>1.0674500000000002</c:v>
                </c:pt>
                <c:pt idx="208">
                  <c:v>1.1342000000000003</c:v>
                </c:pt>
                <c:pt idx="209">
                  <c:v>1.2000500000000003</c:v>
                </c:pt>
                <c:pt idx="210">
                  <c:v>1.2650000000000001</c:v>
                </c:pt>
                <c:pt idx="211">
                  <c:v>1.3290500000000003</c:v>
                </c:pt>
                <c:pt idx="212">
                  <c:v>1.3922000000000003</c:v>
                </c:pt>
                <c:pt idx="213">
                  <c:v>1.4544500000000002</c:v>
                </c:pt>
                <c:pt idx="214">
                  <c:v>1.5158</c:v>
                </c:pt>
                <c:pt idx="215">
                  <c:v>1.5762500000000004</c:v>
                </c:pt>
                <c:pt idx="216">
                  <c:v>1.6358000000000001</c:v>
                </c:pt>
                <c:pt idx="217">
                  <c:v>1.6944500000000002</c:v>
                </c:pt>
                <c:pt idx="218">
                  <c:v>1.7522000000000002</c:v>
                </c:pt>
                <c:pt idx="219">
                  <c:v>1.80905</c:v>
                </c:pt>
                <c:pt idx="220">
                  <c:v>1.8650000000000002</c:v>
                </c:pt>
                <c:pt idx="221">
                  <c:v>1.9200500000000003</c:v>
                </c:pt>
                <c:pt idx="222">
                  <c:v>1.9742000000000002</c:v>
                </c:pt>
                <c:pt idx="223">
                  <c:v>2.02745</c:v>
                </c:pt>
                <c:pt idx="224">
                  <c:v>2.0798</c:v>
                </c:pt>
                <c:pt idx="225">
                  <c:v>2.13125</c:v>
                </c:pt>
                <c:pt idx="226">
                  <c:v>2.1818</c:v>
                </c:pt>
                <c:pt idx="227">
                  <c:v>2.23145</c:v>
                </c:pt>
                <c:pt idx="228">
                  <c:v>2.2802000000000002</c:v>
                </c:pt>
                <c:pt idx="229">
                  <c:v>2.32805</c:v>
                </c:pt>
                <c:pt idx="230">
                  <c:v>2.3750000000000004</c:v>
                </c:pt>
                <c:pt idx="231">
                  <c:v>2.42105</c:v>
                </c:pt>
                <c:pt idx="232">
                  <c:v>2.4662</c:v>
                </c:pt>
                <c:pt idx="233">
                  <c:v>2.51045</c:v>
                </c:pt>
                <c:pt idx="234">
                  <c:v>2.5538</c:v>
                </c:pt>
                <c:pt idx="235">
                  <c:v>2.59625</c:v>
                </c:pt>
                <c:pt idx="236">
                  <c:v>2.6378000000000004</c:v>
                </c:pt>
                <c:pt idx="237">
                  <c:v>2.67845</c:v>
                </c:pt>
                <c:pt idx="238">
                  <c:v>2.7182</c:v>
                </c:pt>
                <c:pt idx="239">
                  <c:v>2.75705</c:v>
                </c:pt>
                <c:pt idx="240">
                  <c:v>2.795</c:v>
                </c:pt>
                <c:pt idx="241">
                  <c:v>2.8320499999999997</c:v>
                </c:pt>
                <c:pt idx="242">
                  <c:v>2.8682</c:v>
                </c:pt>
                <c:pt idx="243">
                  <c:v>2.9034500000000003</c:v>
                </c:pt>
                <c:pt idx="244">
                  <c:v>2.9378</c:v>
                </c:pt>
                <c:pt idx="245">
                  <c:v>2.97125</c:v>
                </c:pt>
                <c:pt idx="246">
                  <c:v>3.0038</c:v>
                </c:pt>
                <c:pt idx="247">
                  <c:v>3.03545</c:v>
                </c:pt>
                <c:pt idx="248">
                  <c:v>3.0662</c:v>
                </c:pt>
                <c:pt idx="249">
                  <c:v>3.09605</c:v>
                </c:pt>
                <c:pt idx="250">
                  <c:v>3.13</c:v>
                </c:pt>
                <c:pt idx="251">
                  <c:v>3.13</c:v>
                </c:pt>
                <c:pt idx="252">
                  <c:v>3.13</c:v>
                </c:pt>
                <c:pt idx="253">
                  <c:v>3.13</c:v>
                </c:pt>
                <c:pt idx="254">
                  <c:v>3.13</c:v>
                </c:pt>
                <c:pt idx="255">
                  <c:v>3.13</c:v>
                </c:pt>
                <c:pt idx="256">
                  <c:v>3.13</c:v>
                </c:pt>
                <c:pt idx="257">
                  <c:v>3.13</c:v>
                </c:pt>
                <c:pt idx="258">
                  <c:v>3.13</c:v>
                </c:pt>
                <c:pt idx="259">
                  <c:v>3.13</c:v>
                </c:pt>
                <c:pt idx="260">
                  <c:v>3.13</c:v>
                </c:pt>
                <c:pt idx="261">
                  <c:v>3.13</c:v>
                </c:pt>
                <c:pt idx="262">
                  <c:v>3.13</c:v>
                </c:pt>
                <c:pt idx="263">
                  <c:v>3.13</c:v>
                </c:pt>
                <c:pt idx="264">
                  <c:v>3.13</c:v>
                </c:pt>
                <c:pt idx="265">
                  <c:v>3.13</c:v>
                </c:pt>
                <c:pt idx="266">
                  <c:v>3.13</c:v>
                </c:pt>
                <c:pt idx="267">
                  <c:v>3.13</c:v>
                </c:pt>
                <c:pt idx="268">
                  <c:v>3.13</c:v>
                </c:pt>
                <c:pt idx="269">
                  <c:v>3.13</c:v>
                </c:pt>
                <c:pt idx="270">
                  <c:v>3.13</c:v>
                </c:pt>
                <c:pt idx="271">
                  <c:v>3.13</c:v>
                </c:pt>
                <c:pt idx="272">
                  <c:v>3.13</c:v>
                </c:pt>
                <c:pt idx="273">
                  <c:v>3.13</c:v>
                </c:pt>
                <c:pt idx="274">
                  <c:v>3.13</c:v>
                </c:pt>
                <c:pt idx="275">
                  <c:v>3.13</c:v>
                </c:pt>
                <c:pt idx="276">
                  <c:v>3.13</c:v>
                </c:pt>
                <c:pt idx="277">
                  <c:v>3.13</c:v>
                </c:pt>
                <c:pt idx="278">
                  <c:v>3.13</c:v>
                </c:pt>
                <c:pt idx="279">
                  <c:v>3.13</c:v>
                </c:pt>
                <c:pt idx="280">
                  <c:v>3.13</c:v>
                </c:pt>
                <c:pt idx="281">
                  <c:v>3.13</c:v>
                </c:pt>
                <c:pt idx="282">
                  <c:v>3.13</c:v>
                </c:pt>
                <c:pt idx="283">
                  <c:v>3.13</c:v>
                </c:pt>
                <c:pt idx="284">
                  <c:v>3.13</c:v>
                </c:pt>
                <c:pt idx="285">
                  <c:v>3.13</c:v>
                </c:pt>
                <c:pt idx="286">
                  <c:v>3.13</c:v>
                </c:pt>
                <c:pt idx="287">
                  <c:v>3.13</c:v>
                </c:pt>
                <c:pt idx="288">
                  <c:v>3.13</c:v>
                </c:pt>
                <c:pt idx="289">
                  <c:v>3.13</c:v>
                </c:pt>
                <c:pt idx="290">
                  <c:v>3.13</c:v>
                </c:pt>
                <c:pt idx="291">
                  <c:v>3.13</c:v>
                </c:pt>
                <c:pt idx="292">
                  <c:v>3.13</c:v>
                </c:pt>
                <c:pt idx="293">
                  <c:v>3.13</c:v>
                </c:pt>
                <c:pt idx="294">
                  <c:v>3.13</c:v>
                </c:pt>
                <c:pt idx="295">
                  <c:v>3.13</c:v>
                </c:pt>
                <c:pt idx="296">
                  <c:v>3.13</c:v>
                </c:pt>
                <c:pt idx="297">
                  <c:v>3.13</c:v>
                </c:pt>
                <c:pt idx="298">
                  <c:v>3.13</c:v>
                </c:pt>
                <c:pt idx="299">
                  <c:v>3.13</c:v>
                </c:pt>
                <c:pt idx="300">
                  <c:v>3.13</c:v>
                </c:pt>
                <c:pt idx="301">
                  <c:v>3.13</c:v>
                </c:pt>
                <c:pt idx="302">
                  <c:v>3.13</c:v>
                </c:pt>
                <c:pt idx="303">
                  <c:v>3.13</c:v>
                </c:pt>
                <c:pt idx="304">
                  <c:v>3.13</c:v>
                </c:pt>
                <c:pt idx="305">
                  <c:v>3.13</c:v>
                </c:pt>
                <c:pt idx="306">
                  <c:v>3.13</c:v>
                </c:pt>
                <c:pt idx="307">
                  <c:v>3.13</c:v>
                </c:pt>
                <c:pt idx="308">
                  <c:v>3.13</c:v>
                </c:pt>
                <c:pt idx="309">
                  <c:v>3.13</c:v>
                </c:pt>
                <c:pt idx="310">
                  <c:v>3.13</c:v>
                </c:pt>
                <c:pt idx="311">
                  <c:v>3.13</c:v>
                </c:pt>
                <c:pt idx="312">
                  <c:v>3.13</c:v>
                </c:pt>
                <c:pt idx="313">
                  <c:v>3.13</c:v>
                </c:pt>
                <c:pt idx="314">
                  <c:v>3.13</c:v>
                </c:pt>
                <c:pt idx="315">
                  <c:v>3.13</c:v>
                </c:pt>
                <c:pt idx="316">
                  <c:v>3.13</c:v>
                </c:pt>
                <c:pt idx="317">
                  <c:v>3.13</c:v>
                </c:pt>
                <c:pt idx="318">
                  <c:v>3.13</c:v>
                </c:pt>
                <c:pt idx="319">
                  <c:v>3.13</c:v>
                </c:pt>
                <c:pt idx="320">
                  <c:v>3.13</c:v>
                </c:pt>
                <c:pt idx="321">
                  <c:v>3.13</c:v>
                </c:pt>
                <c:pt idx="322">
                  <c:v>3.13</c:v>
                </c:pt>
                <c:pt idx="323">
                  <c:v>3.13</c:v>
                </c:pt>
                <c:pt idx="324">
                  <c:v>3.13</c:v>
                </c:pt>
                <c:pt idx="325">
                  <c:v>3.13</c:v>
                </c:pt>
                <c:pt idx="326">
                  <c:v>3.13</c:v>
                </c:pt>
                <c:pt idx="327">
                  <c:v>3.13</c:v>
                </c:pt>
                <c:pt idx="328">
                  <c:v>3.13</c:v>
                </c:pt>
                <c:pt idx="329">
                  <c:v>3.13</c:v>
                </c:pt>
                <c:pt idx="330">
                  <c:v>3.13</c:v>
                </c:pt>
                <c:pt idx="331">
                  <c:v>3.13</c:v>
                </c:pt>
                <c:pt idx="332">
                  <c:v>3.13</c:v>
                </c:pt>
                <c:pt idx="333">
                  <c:v>3.13</c:v>
                </c:pt>
                <c:pt idx="334">
                  <c:v>3.13</c:v>
                </c:pt>
                <c:pt idx="335">
                  <c:v>3.13</c:v>
                </c:pt>
                <c:pt idx="336">
                  <c:v>3.13</c:v>
                </c:pt>
                <c:pt idx="337">
                  <c:v>3.13</c:v>
                </c:pt>
                <c:pt idx="338">
                  <c:v>3.13</c:v>
                </c:pt>
                <c:pt idx="339">
                  <c:v>3.13</c:v>
                </c:pt>
                <c:pt idx="340">
                  <c:v>3.13</c:v>
                </c:pt>
                <c:pt idx="341">
                  <c:v>3.13</c:v>
                </c:pt>
                <c:pt idx="342">
                  <c:v>3.13</c:v>
                </c:pt>
                <c:pt idx="343">
                  <c:v>3.13</c:v>
                </c:pt>
                <c:pt idx="344">
                  <c:v>3.13</c:v>
                </c:pt>
                <c:pt idx="345">
                  <c:v>3.13</c:v>
                </c:pt>
                <c:pt idx="346">
                  <c:v>3.13</c:v>
                </c:pt>
                <c:pt idx="347">
                  <c:v>3.13</c:v>
                </c:pt>
                <c:pt idx="348">
                  <c:v>3.13</c:v>
                </c:pt>
                <c:pt idx="349">
                  <c:v>3.13</c:v>
                </c:pt>
                <c:pt idx="350">
                  <c:v>3.13</c:v>
                </c:pt>
              </c:numCache>
            </c:numRef>
          </c:val>
          <c:smooth val="0"/>
        </c:ser>
        <c:ser>
          <c:idx val="1"/>
          <c:order val="1"/>
          <c:tx>
            <c:v>Emissioni del suolo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modello!$F$4:$F$354</c:f>
              <c:numCache>
                <c:ptCount val="351"/>
                <c:pt idx="0">
                  <c:v>1750</c:v>
                </c:pt>
                <c:pt idx="1">
                  <c:v>1751</c:v>
                </c:pt>
                <c:pt idx="2">
                  <c:v>1752</c:v>
                </c:pt>
                <c:pt idx="3">
                  <c:v>1753</c:v>
                </c:pt>
                <c:pt idx="4">
                  <c:v>1754</c:v>
                </c:pt>
                <c:pt idx="5">
                  <c:v>1755</c:v>
                </c:pt>
                <c:pt idx="6">
                  <c:v>1756</c:v>
                </c:pt>
                <c:pt idx="7">
                  <c:v>1757</c:v>
                </c:pt>
                <c:pt idx="8">
                  <c:v>1758</c:v>
                </c:pt>
                <c:pt idx="9">
                  <c:v>1759</c:v>
                </c:pt>
                <c:pt idx="10">
                  <c:v>1760</c:v>
                </c:pt>
                <c:pt idx="11">
                  <c:v>1761</c:v>
                </c:pt>
                <c:pt idx="12">
                  <c:v>1762</c:v>
                </c:pt>
                <c:pt idx="13">
                  <c:v>1763</c:v>
                </c:pt>
                <c:pt idx="14">
                  <c:v>1764</c:v>
                </c:pt>
                <c:pt idx="15">
                  <c:v>1765</c:v>
                </c:pt>
                <c:pt idx="16">
                  <c:v>1766</c:v>
                </c:pt>
                <c:pt idx="17">
                  <c:v>1767</c:v>
                </c:pt>
                <c:pt idx="18">
                  <c:v>1768</c:v>
                </c:pt>
                <c:pt idx="19">
                  <c:v>1769</c:v>
                </c:pt>
                <c:pt idx="20">
                  <c:v>1770</c:v>
                </c:pt>
                <c:pt idx="21">
                  <c:v>1771</c:v>
                </c:pt>
                <c:pt idx="22">
                  <c:v>1772</c:v>
                </c:pt>
                <c:pt idx="23">
                  <c:v>1773</c:v>
                </c:pt>
                <c:pt idx="24">
                  <c:v>1774</c:v>
                </c:pt>
                <c:pt idx="25">
                  <c:v>1775</c:v>
                </c:pt>
                <c:pt idx="26">
                  <c:v>1776</c:v>
                </c:pt>
                <c:pt idx="27">
                  <c:v>1777</c:v>
                </c:pt>
                <c:pt idx="28">
                  <c:v>1778</c:v>
                </c:pt>
                <c:pt idx="29">
                  <c:v>1779</c:v>
                </c:pt>
                <c:pt idx="30">
                  <c:v>1780</c:v>
                </c:pt>
                <c:pt idx="31">
                  <c:v>1781</c:v>
                </c:pt>
                <c:pt idx="32">
                  <c:v>1782</c:v>
                </c:pt>
                <c:pt idx="33">
                  <c:v>1783</c:v>
                </c:pt>
                <c:pt idx="34">
                  <c:v>1784</c:v>
                </c:pt>
                <c:pt idx="35">
                  <c:v>1785</c:v>
                </c:pt>
                <c:pt idx="36">
                  <c:v>1786</c:v>
                </c:pt>
                <c:pt idx="37">
                  <c:v>1787</c:v>
                </c:pt>
                <c:pt idx="38">
                  <c:v>1788</c:v>
                </c:pt>
                <c:pt idx="39">
                  <c:v>1789</c:v>
                </c:pt>
                <c:pt idx="40">
                  <c:v>1790</c:v>
                </c:pt>
                <c:pt idx="41">
                  <c:v>1791</c:v>
                </c:pt>
                <c:pt idx="42">
                  <c:v>1792</c:v>
                </c:pt>
                <c:pt idx="43">
                  <c:v>1793</c:v>
                </c:pt>
                <c:pt idx="44">
                  <c:v>1794</c:v>
                </c:pt>
                <c:pt idx="45">
                  <c:v>1795</c:v>
                </c:pt>
                <c:pt idx="46">
                  <c:v>1796</c:v>
                </c:pt>
                <c:pt idx="47">
                  <c:v>1797</c:v>
                </c:pt>
                <c:pt idx="48">
                  <c:v>1798</c:v>
                </c:pt>
                <c:pt idx="49">
                  <c:v>1799</c:v>
                </c:pt>
                <c:pt idx="50">
                  <c:v>1800</c:v>
                </c:pt>
                <c:pt idx="51">
                  <c:v>1801</c:v>
                </c:pt>
                <c:pt idx="52">
                  <c:v>1802</c:v>
                </c:pt>
                <c:pt idx="53">
                  <c:v>1803</c:v>
                </c:pt>
                <c:pt idx="54">
                  <c:v>1804</c:v>
                </c:pt>
                <c:pt idx="55">
                  <c:v>1805</c:v>
                </c:pt>
                <c:pt idx="56">
                  <c:v>1806</c:v>
                </c:pt>
                <c:pt idx="57">
                  <c:v>1807</c:v>
                </c:pt>
                <c:pt idx="58">
                  <c:v>1808</c:v>
                </c:pt>
                <c:pt idx="59">
                  <c:v>1809</c:v>
                </c:pt>
                <c:pt idx="60">
                  <c:v>1810</c:v>
                </c:pt>
                <c:pt idx="61">
                  <c:v>1811</c:v>
                </c:pt>
                <c:pt idx="62">
                  <c:v>1812</c:v>
                </c:pt>
                <c:pt idx="63">
                  <c:v>1813</c:v>
                </c:pt>
                <c:pt idx="64">
                  <c:v>1814</c:v>
                </c:pt>
                <c:pt idx="65">
                  <c:v>1815</c:v>
                </c:pt>
                <c:pt idx="66">
                  <c:v>1816</c:v>
                </c:pt>
                <c:pt idx="67">
                  <c:v>1817</c:v>
                </c:pt>
                <c:pt idx="68">
                  <c:v>1818</c:v>
                </c:pt>
                <c:pt idx="69">
                  <c:v>1819</c:v>
                </c:pt>
                <c:pt idx="70">
                  <c:v>1820</c:v>
                </c:pt>
                <c:pt idx="71">
                  <c:v>1821</c:v>
                </c:pt>
                <c:pt idx="72">
                  <c:v>1822</c:v>
                </c:pt>
                <c:pt idx="73">
                  <c:v>1823</c:v>
                </c:pt>
                <c:pt idx="74">
                  <c:v>1824</c:v>
                </c:pt>
                <c:pt idx="75">
                  <c:v>1825</c:v>
                </c:pt>
                <c:pt idx="76">
                  <c:v>1826</c:v>
                </c:pt>
                <c:pt idx="77">
                  <c:v>1827</c:v>
                </c:pt>
                <c:pt idx="78">
                  <c:v>1828</c:v>
                </c:pt>
                <c:pt idx="79">
                  <c:v>1829</c:v>
                </c:pt>
                <c:pt idx="80">
                  <c:v>1830</c:v>
                </c:pt>
                <c:pt idx="81">
                  <c:v>1831</c:v>
                </c:pt>
                <c:pt idx="82">
                  <c:v>1832</c:v>
                </c:pt>
                <c:pt idx="83">
                  <c:v>1833</c:v>
                </c:pt>
                <c:pt idx="84">
                  <c:v>1834</c:v>
                </c:pt>
                <c:pt idx="85">
                  <c:v>1835</c:v>
                </c:pt>
                <c:pt idx="86">
                  <c:v>1836</c:v>
                </c:pt>
                <c:pt idx="87">
                  <c:v>1837</c:v>
                </c:pt>
                <c:pt idx="88">
                  <c:v>1838</c:v>
                </c:pt>
                <c:pt idx="89">
                  <c:v>1839</c:v>
                </c:pt>
                <c:pt idx="90">
                  <c:v>1840</c:v>
                </c:pt>
                <c:pt idx="91">
                  <c:v>1841</c:v>
                </c:pt>
                <c:pt idx="92">
                  <c:v>1842</c:v>
                </c:pt>
                <c:pt idx="93">
                  <c:v>1843</c:v>
                </c:pt>
                <c:pt idx="94">
                  <c:v>1844</c:v>
                </c:pt>
                <c:pt idx="95">
                  <c:v>1845</c:v>
                </c:pt>
                <c:pt idx="96">
                  <c:v>1846</c:v>
                </c:pt>
                <c:pt idx="97">
                  <c:v>1847</c:v>
                </c:pt>
                <c:pt idx="98">
                  <c:v>1848</c:v>
                </c:pt>
                <c:pt idx="99">
                  <c:v>1849</c:v>
                </c:pt>
                <c:pt idx="100">
                  <c:v>1850</c:v>
                </c:pt>
                <c:pt idx="101">
                  <c:v>1851</c:v>
                </c:pt>
                <c:pt idx="102">
                  <c:v>1852</c:v>
                </c:pt>
                <c:pt idx="103">
                  <c:v>1853</c:v>
                </c:pt>
                <c:pt idx="104">
                  <c:v>1854</c:v>
                </c:pt>
                <c:pt idx="105">
                  <c:v>1855</c:v>
                </c:pt>
                <c:pt idx="106">
                  <c:v>1856</c:v>
                </c:pt>
                <c:pt idx="107">
                  <c:v>1857</c:v>
                </c:pt>
                <c:pt idx="108">
                  <c:v>1858</c:v>
                </c:pt>
                <c:pt idx="109">
                  <c:v>1859</c:v>
                </c:pt>
                <c:pt idx="110">
                  <c:v>1860</c:v>
                </c:pt>
                <c:pt idx="111">
                  <c:v>1861</c:v>
                </c:pt>
                <c:pt idx="112">
                  <c:v>1862</c:v>
                </c:pt>
                <c:pt idx="113">
                  <c:v>1863</c:v>
                </c:pt>
                <c:pt idx="114">
                  <c:v>1864</c:v>
                </c:pt>
                <c:pt idx="115">
                  <c:v>1865</c:v>
                </c:pt>
                <c:pt idx="116">
                  <c:v>1866</c:v>
                </c:pt>
                <c:pt idx="117">
                  <c:v>1867</c:v>
                </c:pt>
                <c:pt idx="118">
                  <c:v>1868</c:v>
                </c:pt>
                <c:pt idx="119">
                  <c:v>1869</c:v>
                </c:pt>
                <c:pt idx="120">
                  <c:v>1870</c:v>
                </c:pt>
                <c:pt idx="121">
                  <c:v>1871</c:v>
                </c:pt>
                <c:pt idx="122">
                  <c:v>1872</c:v>
                </c:pt>
                <c:pt idx="123">
                  <c:v>1873</c:v>
                </c:pt>
                <c:pt idx="124">
                  <c:v>1874</c:v>
                </c:pt>
                <c:pt idx="125">
                  <c:v>1875</c:v>
                </c:pt>
                <c:pt idx="126">
                  <c:v>1876</c:v>
                </c:pt>
                <c:pt idx="127">
                  <c:v>1877</c:v>
                </c:pt>
                <c:pt idx="128">
                  <c:v>1878</c:v>
                </c:pt>
                <c:pt idx="129">
                  <c:v>1879</c:v>
                </c:pt>
                <c:pt idx="130">
                  <c:v>1880</c:v>
                </c:pt>
                <c:pt idx="131">
                  <c:v>1881</c:v>
                </c:pt>
                <c:pt idx="132">
                  <c:v>1882</c:v>
                </c:pt>
                <c:pt idx="133">
                  <c:v>1883</c:v>
                </c:pt>
                <c:pt idx="134">
                  <c:v>1884</c:v>
                </c:pt>
                <c:pt idx="135">
                  <c:v>1885</c:v>
                </c:pt>
                <c:pt idx="136">
                  <c:v>1886</c:v>
                </c:pt>
                <c:pt idx="137">
                  <c:v>1887</c:v>
                </c:pt>
                <c:pt idx="138">
                  <c:v>1888</c:v>
                </c:pt>
                <c:pt idx="139">
                  <c:v>1889</c:v>
                </c:pt>
                <c:pt idx="140">
                  <c:v>1890</c:v>
                </c:pt>
                <c:pt idx="141">
                  <c:v>1891</c:v>
                </c:pt>
                <c:pt idx="142">
                  <c:v>1892</c:v>
                </c:pt>
                <c:pt idx="143">
                  <c:v>1893</c:v>
                </c:pt>
                <c:pt idx="144">
                  <c:v>1894</c:v>
                </c:pt>
                <c:pt idx="145">
                  <c:v>1895</c:v>
                </c:pt>
                <c:pt idx="146">
                  <c:v>1896</c:v>
                </c:pt>
                <c:pt idx="147">
                  <c:v>1897</c:v>
                </c:pt>
                <c:pt idx="148">
                  <c:v>1898</c:v>
                </c:pt>
                <c:pt idx="149">
                  <c:v>1899</c:v>
                </c:pt>
                <c:pt idx="150">
                  <c:v>1900</c:v>
                </c:pt>
                <c:pt idx="151">
                  <c:v>1901</c:v>
                </c:pt>
                <c:pt idx="152">
                  <c:v>1902</c:v>
                </c:pt>
                <c:pt idx="153">
                  <c:v>1903</c:v>
                </c:pt>
                <c:pt idx="154">
                  <c:v>1904</c:v>
                </c:pt>
                <c:pt idx="155">
                  <c:v>1905</c:v>
                </c:pt>
                <c:pt idx="156">
                  <c:v>1906</c:v>
                </c:pt>
                <c:pt idx="157">
                  <c:v>1907</c:v>
                </c:pt>
                <c:pt idx="158">
                  <c:v>1908</c:v>
                </c:pt>
                <c:pt idx="159">
                  <c:v>1909</c:v>
                </c:pt>
                <c:pt idx="160">
                  <c:v>1910</c:v>
                </c:pt>
                <c:pt idx="161">
                  <c:v>1911</c:v>
                </c:pt>
                <c:pt idx="162">
                  <c:v>1912</c:v>
                </c:pt>
                <c:pt idx="163">
                  <c:v>1913</c:v>
                </c:pt>
                <c:pt idx="164">
                  <c:v>1914</c:v>
                </c:pt>
                <c:pt idx="165">
                  <c:v>1915</c:v>
                </c:pt>
                <c:pt idx="166">
                  <c:v>1916</c:v>
                </c:pt>
                <c:pt idx="167">
                  <c:v>1917</c:v>
                </c:pt>
                <c:pt idx="168">
                  <c:v>1918</c:v>
                </c:pt>
                <c:pt idx="169">
                  <c:v>1919</c:v>
                </c:pt>
                <c:pt idx="170">
                  <c:v>1920</c:v>
                </c:pt>
                <c:pt idx="171">
                  <c:v>1921</c:v>
                </c:pt>
                <c:pt idx="172">
                  <c:v>1922</c:v>
                </c:pt>
                <c:pt idx="173">
                  <c:v>1923</c:v>
                </c:pt>
                <c:pt idx="174">
                  <c:v>1924</c:v>
                </c:pt>
                <c:pt idx="175">
                  <c:v>1925</c:v>
                </c:pt>
                <c:pt idx="176">
                  <c:v>1926</c:v>
                </c:pt>
                <c:pt idx="177">
                  <c:v>1927</c:v>
                </c:pt>
                <c:pt idx="178">
                  <c:v>1928</c:v>
                </c:pt>
                <c:pt idx="179">
                  <c:v>1929</c:v>
                </c:pt>
                <c:pt idx="180">
                  <c:v>1930</c:v>
                </c:pt>
                <c:pt idx="181">
                  <c:v>1931</c:v>
                </c:pt>
                <c:pt idx="182">
                  <c:v>1932</c:v>
                </c:pt>
                <c:pt idx="183">
                  <c:v>1933</c:v>
                </c:pt>
                <c:pt idx="184">
                  <c:v>1934</c:v>
                </c:pt>
                <c:pt idx="185">
                  <c:v>1935</c:v>
                </c:pt>
                <c:pt idx="186">
                  <c:v>1936</c:v>
                </c:pt>
                <c:pt idx="187">
                  <c:v>1937</c:v>
                </c:pt>
                <c:pt idx="188">
                  <c:v>1938</c:v>
                </c:pt>
                <c:pt idx="189">
                  <c:v>1939</c:v>
                </c:pt>
                <c:pt idx="190">
                  <c:v>1940</c:v>
                </c:pt>
                <c:pt idx="191">
                  <c:v>1941</c:v>
                </c:pt>
                <c:pt idx="192">
                  <c:v>1942</c:v>
                </c:pt>
                <c:pt idx="193">
                  <c:v>1943</c:v>
                </c:pt>
                <c:pt idx="194">
                  <c:v>1944</c:v>
                </c:pt>
                <c:pt idx="195">
                  <c:v>1945</c:v>
                </c:pt>
                <c:pt idx="196">
                  <c:v>1946</c:v>
                </c:pt>
                <c:pt idx="197">
                  <c:v>1947</c:v>
                </c:pt>
                <c:pt idx="198">
                  <c:v>1948</c:v>
                </c:pt>
                <c:pt idx="199">
                  <c:v>1949</c:v>
                </c:pt>
                <c:pt idx="200">
                  <c:v>1950</c:v>
                </c:pt>
                <c:pt idx="201">
                  <c:v>1951</c:v>
                </c:pt>
                <c:pt idx="202">
                  <c:v>1952</c:v>
                </c:pt>
                <c:pt idx="203">
                  <c:v>1953</c:v>
                </c:pt>
                <c:pt idx="204">
                  <c:v>1954</c:v>
                </c:pt>
                <c:pt idx="205">
                  <c:v>1955</c:v>
                </c:pt>
                <c:pt idx="206">
                  <c:v>1956</c:v>
                </c:pt>
                <c:pt idx="207">
                  <c:v>1957</c:v>
                </c:pt>
                <c:pt idx="208">
                  <c:v>1958</c:v>
                </c:pt>
                <c:pt idx="209">
                  <c:v>1959</c:v>
                </c:pt>
                <c:pt idx="210">
                  <c:v>1960</c:v>
                </c:pt>
                <c:pt idx="211">
                  <c:v>1961</c:v>
                </c:pt>
                <c:pt idx="212">
                  <c:v>1962</c:v>
                </c:pt>
                <c:pt idx="213">
                  <c:v>1963</c:v>
                </c:pt>
                <c:pt idx="214">
                  <c:v>1964</c:v>
                </c:pt>
                <c:pt idx="215">
                  <c:v>1965</c:v>
                </c:pt>
                <c:pt idx="216">
                  <c:v>1966</c:v>
                </c:pt>
                <c:pt idx="217">
                  <c:v>1967</c:v>
                </c:pt>
                <c:pt idx="218">
                  <c:v>1968</c:v>
                </c:pt>
                <c:pt idx="219">
                  <c:v>1969</c:v>
                </c:pt>
                <c:pt idx="220">
                  <c:v>1970</c:v>
                </c:pt>
                <c:pt idx="221">
                  <c:v>1971</c:v>
                </c:pt>
                <c:pt idx="222">
                  <c:v>1972</c:v>
                </c:pt>
                <c:pt idx="223">
                  <c:v>1973</c:v>
                </c:pt>
                <c:pt idx="224">
                  <c:v>1974</c:v>
                </c:pt>
                <c:pt idx="225">
                  <c:v>1975</c:v>
                </c:pt>
                <c:pt idx="226">
                  <c:v>1976</c:v>
                </c:pt>
                <c:pt idx="227">
                  <c:v>1977</c:v>
                </c:pt>
                <c:pt idx="228">
                  <c:v>1978</c:v>
                </c:pt>
                <c:pt idx="229">
                  <c:v>1979</c:v>
                </c:pt>
                <c:pt idx="230">
                  <c:v>1980</c:v>
                </c:pt>
                <c:pt idx="231">
                  <c:v>1981</c:v>
                </c:pt>
                <c:pt idx="232">
                  <c:v>1982</c:v>
                </c:pt>
                <c:pt idx="233">
                  <c:v>1983</c:v>
                </c:pt>
                <c:pt idx="234">
                  <c:v>1984</c:v>
                </c:pt>
                <c:pt idx="235">
                  <c:v>1985</c:v>
                </c:pt>
                <c:pt idx="236">
                  <c:v>1986</c:v>
                </c:pt>
                <c:pt idx="237">
                  <c:v>1987</c:v>
                </c:pt>
                <c:pt idx="238">
                  <c:v>1988</c:v>
                </c:pt>
                <c:pt idx="239">
                  <c:v>1989</c:v>
                </c:pt>
                <c:pt idx="240">
                  <c:v>1990</c:v>
                </c:pt>
                <c:pt idx="241">
                  <c:v>1991</c:v>
                </c:pt>
                <c:pt idx="242">
                  <c:v>1992</c:v>
                </c:pt>
                <c:pt idx="243">
                  <c:v>1993</c:v>
                </c:pt>
                <c:pt idx="244">
                  <c:v>1994</c:v>
                </c:pt>
                <c:pt idx="245">
                  <c:v>1995</c:v>
                </c:pt>
                <c:pt idx="246">
                  <c:v>1996</c:v>
                </c:pt>
                <c:pt idx="247">
                  <c:v>1997</c:v>
                </c:pt>
                <c:pt idx="248">
                  <c:v>1998</c:v>
                </c:pt>
                <c:pt idx="249">
                  <c:v>1999</c:v>
                </c:pt>
                <c:pt idx="250">
                  <c:v>2000</c:v>
                </c:pt>
                <c:pt idx="251">
                  <c:v>2001</c:v>
                </c:pt>
                <c:pt idx="252">
                  <c:v>2002</c:v>
                </c:pt>
                <c:pt idx="253">
                  <c:v>2003</c:v>
                </c:pt>
                <c:pt idx="254">
                  <c:v>2004</c:v>
                </c:pt>
                <c:pt idx="255">
                  <c:v>2005</c:v>
                </c:pt>
                <c:pt idx="256">
                  <c:v>2006</c:v>
                </c:pt>
                <c:pt idx="257">
                  <c:v>2007</c:v>
                </c:pt>
                <c:pt idx="258">
                  <c:v>2008</c:v>
                </c:pt>
                <c:pt idx="259">
                  <c:v>2009</c:v>
                </c:pt>
                <c:pt idx="260">
                  <c:v>2010</c:v>
                </c:pt>
                <c:pt idx="261">
                  <c:v>2011</c:v>
                </c:pt>
                <c:pt idx="262">
                  <c:v>2012</c:v>
                </c:pt>
                <c:pt idx="263">
                  <c:v>2013</c:v>
                </c:pt>
                <c:pt idx="264">
                  <c:v>2014</c:v>
                </c:pt>
                <c:pt idx="265">
                  <c:v>2015</c:v>
                </c:pt>
                <c:pt idx="266">
                  <c:v>2016</c:v>
                </c:pt>
                <c:pt idx="267">
                  <c:v>2017</c:v>
                </c:pt>
                <c:pt idx="268">
                  <c:v>2018</c:v>
                </c:pt>
                <c:pt idx="269">
                  <c:v>2019</c:v>
                </c:pt>
                <c:pt idx="270">
                  <c:v>2020</c:v>
                </c:pt>
                <c:pt idx="271">
                  <c:v>2021</c:v>
                </c:pt>
                <c:pt idx="272">
                  <c:v>2022</c:v>
                </c:pt>
                <c:pt idx="273">
                  <c:v>2023</c:v>
                </c:pt>
                <c:pt idx="274">
                  <c:v>2024</c:v>
                </c:pt>
                <c:pt idx="275">
                  <c:v>2025</c:v>
                </c:pt>
                <c:pt idx="276">
                  <c:v>2026</c:v>
                </c:pt>
                <c:pt idx="277">
                  <c:v>2027</c:v>
                </c:pt>
                <c:pt idx="278">
                  <c:v>2028</c:v>
                </c:pt>
                <c:pt idx="279">
                  <c:v>2029</c:v>
                </c:pt>
                <c:pt idx="280">
                  <c:v>2030</c:v>
                </c:pt>
                <c:pt idx="281">
                  <c:v>2031</c:v>
                </c:pt>
                <c:pt idx="282">
                  <c:v>2032</c:v>
                </c:pt>
                <c:pt idx="283">
                  <c:v>2033</c:v>
                </c:pt>
                <c:pt idx="284">
                  <c:v>2034</c:v>
                </c:pt>
                <c:pt idx="285">
                  <c:v>2035</c:v>
                </c:pt>
                <c:pt idx="286">
                  <c:v>2036</c:v>
                </c:pt>
                <c:pt idx="287">
                  <c:v>2037</c:v>
                </c:pt>
                <c:pt idx="288">
                  <c:v>2038</c:v>
                </c:pt>
                <c:pt idx="289">
                  <c:v>2039</c:v>
                </c:pt>
                <c:pt idx="290">
                  <c:v>2040</c:v>
                </c:pt>
                <c:pt idx="291">
                  <c:v>2041</c:v>
                </c:pt>
                <c:pt idx="292">
                  <c:v>2042</c:v>
                </c:pt>
                <c:pt idx="293">
                  <c:v>2043</c:v>
                </c:pt>
                <c:pt idx="294">
                  <c:v>2044</c:v>
                </c:pt>
                <c:pt idx="295">
                  <c:v>2045</c:v>
                </c:pt>
                <c:pt idx="296">
                  <c:v>2046</c:v>
                </c:pt>
                <c:pt idx="297">
                  <c:v>2047</c:v>
                </c:pt>
                <c:pt idx="298">
                  <c:v>2048</c:v>
                </c:pt>
                <c:pt idx="299">
                  <c:v>2049</c:v>
                </c:pt>
                <c:pt idx="300">
                  <c:v>2050</c:v>
                </c:pt>
                <c:pt idx="301">
                  <c:v>2051</c:v>
                </c:pt>
                <c:pt idx="302">
                  <c:v>2052</c:v>
                </c:pt>
                <c:pt idx="303">
                  <c:v>2053</c:v>
                </c:pt>
                <c:pt idx="304">
                  <c:v>2054</c:v>
                </c:pt>
                <c:pt idx="305">
                  <c:v>2055</c:v>
                </c:pt>
                <c:pt idx="306">
                  <c:v>2056</c:v>
                </c:pt>
                <c:pt idx="307">
                  <c:v>2057</c:v>
                </c:pt>
                <c:pt idx="308">
                  <c:v>2058</c:v>
                </c:pt>
                <c:pt idx="309">
                  <c:v>2059</c:v>
                </c:pt>
                <c:pt idx="310">
                  <c:v>2060</c:v>
                </c:pt>
                <c:pt idx="311">
                  <c:v>2061</c:v>
                </c:pt>
                <c:pt idx="312">
                  <c:v>2062</c:v>
                </c:pt>
                <c:pt idx="313">
                  <c:v>2063</c:v>
                </c:pt>
                <c:pt idx="314">
                  <c:v>2064</c:v>
                </c:pt>
                <c:pt idx="315">
                  <c:v>2065</c:v>
                </c:pt>
                <c:pt idx="316">
                  <c:v>2066</c:v>
                </c:pt>
                <c:pt idx="317">
                  <c:v>2067</c:v>
                </c:pt>
                <c:pt idx="318">
                  <c:v>2068</c:v>
                </c:pt>
                <c:pt idx="319">
                  <c:v>2069</c:v>
                </c:pt>
                <c:pt idx="320">
                  <c:v>2070</c:v>
                </c:pt>
                <c:pt idx="321">
                  <c:v>2071</c:v>
                </c:pt>
                <c:pt idx="322">
                  <c:v>2072</c:v>
                </c:pt>
                <c:pt idx="323">
                  <c:v>2073</c:v>
                </c:pt>
                <c:pt idx="324">
                  <c:v>2074</c:v>
                </c:pt>
                <c:pt idx="325">
                  <c:v>2075</c:v>
                </c:pt>
                <c:pt idx="326">
                  <c:v>2076</c:v>
                </c:pt>
                <c:pt idx="327">
                  <c:v>2077</c:v>
                </c:pt>
                <c:pt idx="328">
                  <c:v>2078</c:v>
                </c:pt>
                <c:pt idx="329">
                  <c:v>2079</c:v>
                </c:pt>
                <c:pt idx="330">
                  <c:v>2080</c:v>
                </c:pt>
                <c:pt idx="331">
                  <c:v>2081</c:v>
                </c:pt>
                <c:pt idx="332">
                  <c:v>2082</c:v>
                </c:pt>
                <c:pt idx="333">
                  <c:v>2083</c:v>
                </c:pt>
                <c:pt idx="334">
                  <c:v>2084</c:v>
                </c:pt>
                <c:pt idx="335">
                  <c:v>2085</c:v>
                </c:pt>
                <c:pt idx="336">
                  <c:v>2086</c:v>
                </c:pt>
                <c:pt idx="337">
                  <c:v>2087</c:v>
                </c:pt>
                <c:pt idx="338">
                  <c:v>2088</c:v>
                </c:pt>
                <c:pt idx="339">
                  <c:v>2089</c:v>
                </c:pt>
                <c:pt idx="340">
                  <c:v>2090</c:v>
                </c:pt>
                <c:pt idx="341">
                  <c:v>2091</c:v>
                </c:pt>
                <c:pt idx="342">
                  <c:v>2092</c:v>
                </c:pt>
                <c:pt idx="343">
                  <c:v>2093</c:v>
                </c:pt>
                <c:pt idx="344">
                  <c:v>2094</c:v>
                </c:pt>
                <c:pt idx="345">
                  <c:v>2095</c:v>
                </c:pt>
                <c:pt idx="346">
                  <c:v>2096</c:v>
                </c:pt>
                <c:pt idx="347">
                  <c:v>2097</c:v>
                </c:pt>
                <c:pt idx="348">
                  <c:v>2098</c:v>
                </c:pt>
                <c:pt idx="349">
                  <c:v>2099</c:v>
                </c:pt>
                <c:pt idx="350">
                  <c:v>2100</c:v>
                </c:pt>
              </c:numCache>
            </c:numRef>
          </c:cat>
          <c:val>
            <c:numRef>
              <c:f>modello!$H$4:$H$354</c:f>
              <c:numCache>
                <c:ptCount val="351"/>
                <c:pt idx="0">
                  <c:v>0</c:v>
                </c:pt>
                <c:pt idx="1">
                  <c:v>0.0008</c:v>
                </c:pt>
                <c:pt idx="2">
                  <c:v>0.0016</c:v>
                </c:pt>
                <c:pt idx="3">
                  <c:v>0.0024000000000000002</c:v>
                </c:pt>
                <c:pt idx="4">
                  <c:v>0.0032</c:v>
                </c:pt>
                <c:pt idx="5">
                  <c:v>0.004</c:v>
                </c:pt>
                <c:pt idx="6">
                  <c:v>0.0048000000000000004</c:v>
                </c:pt>
                <c:pt idx="7">
                  <c:v>0.005600000000000001</c:v>
                </c:pt>
                <c:pt idx="8">
                  <c:v>0.006400000000000001</c:v>
                </c:pt>
                <c:pt idx="9">
                  <c:v>0.0072000000000000015</c:v>
                </c:pt>
                <c:pt idx="10">
                  <c:v>0.008000000000000002</c:v>
                </c:pt>
                <c:pt idx="11">
                  <c:v>0.008800000000000002</c:v>
                </c:pt>
                <c:pt idx="12">
                  <c:v>0.009600000000000003</c:v>
                </c:pt>
                <c:pt idx="13">
                  <c:v>0.010400000000000003</c:v>
                </c:pt>
                <c:pt idx="14">
                  <c:v>0.011200000000000003</c:v>
                </c:pt>
                <c:pt idx="15">
                  <c:v>0.012000000000000004</c:v>
                </c:pt>
                <c:pt idx="16">
                  <c:v>0.012800000000000004</c:v>
                </c:pt>
                <c:pt idx="17">
                  <c:v>0.013600000000000004</c:v>
                </c:pt>
                <c:pt idx="18">
                  <c:v>0.014400000000000005</c:v>
                </c:pt>
                <c:pt idx="19">
                  <c:v>0.015200000000000005</c:v>
                </c:pt>
                <c:pt idx="20">
                  <c:v>0.016000000000000004</c:v>
                </c:pt>
                <c:pt idx="21">
                  <c:v>0.016800000000000002</c:v>
                </c:pt>
                <c:pt idx="22">
                  <c:v>0.0176</c:v>
                </c:pt>
                <c:pt idx="23">
                  <c:v>0.0184</c:v>
                </c:pt>
                <c:pt idx="24">
                  <c:v>0.0192</c:v>
                </c:pt>
                <c:pt idx="25">
                  <c:v>0.019999999999999997</c:v>
                </c:pt>
                <c:pt idx="26">
                  <c:v>0.020799999999999996</c:v>
                </c:pt>
                <c:pt idx="27">
                  <c:v>0.021599999999999994</c:v>
                </c:pt>
                <c:pt idx="28">
                  <c:v>0.022399999999999993</c:v>
                </c:pt>
                <c:pt idx="29">
                  <c:v>0.02319999999999999</c:v>
                </c:pt>
                <c:pt idx="30">
                  <c:v>0.02399999999999999</c:v>
                </c:pt>
                <c:pt idx="31">
                  <c:v>0.02479999999999999</c:v>
                </c:pt>
                <c:pt idx="32">
                  <c:v>0.025599999999999987</c:v>
                </c:pt>
                <c:pt idx="33">
                  <c:v>0.026399999999999986</c:v>
                </c:pt>
                <c:pt idx="34">
                  <c:v>0.027199999999999985</c:v>
                </c:pt>
                <c:pt idx="35">
                  <c:v>0.027999999999999983</c:v>
                </c:pt>
                <c:pt idx="36">
                  <c:v>0.028799999999999982</c:v>
                </c:pt>
                <c:pt idx="37">
                  <c:v>0.02959999999999998</c:v>
                </c:pt>
                <c:pt idx="38">
                  <c:v>0.03039999999999998</c:v>
                </c:pt>
                <c:pt idx="39">
                  <c:v>0.031199999999999978</c:v>
                </c:pt>
                <c:pt idx="40">
                  <c:v>0.03199999999999998</c:v>
                </c:pt>
                <c:pt idx="41">
                  <c:v>0.03279999999999998</c:v>
                </c:pt>
                <c:pt idx="42">
                  <c:v>0.033599999999999984</c:v>
                </c:pt>
                <c:pt idx="43">
                  <c:v>0.034399999999999986</c:v>
                </c:pt>
                <c:pt idx="44">
                  <c:v>0.03519999999999999</c:v>
                </c:pt>
                <c:pt idx="45">
                  <c:v>0.03599999999999999</c:v>
                </c:pt>
                <c:pt idx="46">
                  <c:v>0.03679999999999999</c:v>
                </c:pt>
                <c:pt idx="47">
                  <c:v>0.037599999999999995</c:v>
                </c:pt>
                <c:pt idx="48">
                  <c:v>0.0384</c:v>
                </c:pt>
                <c:pt idx="49">
                  <c:v>0.0392</c:v>
                </c:pt>
                <c:pt idx="50">
                  <c:v>0.04</c:v>
                </c:pt>
                <c:pt idx="51">
                  <c:v>0.041</c:v>
                </c:pt>
                <c:pt idx="52">
                  <c:v>0.042</c:v>
                </c:pt>
                <c:pt idx="53">
                  <c:v>0.043000000000000003</c:v>
                </c:pt>
                <c:pt idx="54">
                  <c:v>0.044000000000000004</c:v>
                </c:pt>
                <c:pt idx="55">
                  <c:v>0.045000000000000005</c:v>
                </c:pt>
                <c:pt idx="56">
                  <c:v>0.046000000000000006</c:v>
                </c:pt>
                <c:pt idx="57">
                  <c:v>0.04700000000000001</c:v>
                </c:pt>
                <c:pt idx="58">
                  <c:v>0.04800000000000001</c:v>
                </c:pt>
                <c:pt idx="59">
                  <c:v>0.04900000000000001</c:v>
                </c:pt>
                <c:pt idx="60">
                  <c:v>0.05000000000000001</c:v>
                </c:pt>
                <c:pt idx="61">
                  <c:v>0.05100000000000001</c:v>
                </c:pt>
                <c:pt idx="62">
                  <c:v>0.05200000000000001</c:v>
                </c:pt>
                <c:pt idx="63">
                  <c:v>0.05300000000000001</c:v>
                </c:pt>
                <c:pt idx="64">
                  <c:v>0.05400000000000001</c:v>
                </c:pt>
                <c:pt idx="65">
                  <c:v>0.055000000000000014</c:v>
                </c:pt>
                <c:pt idx="66">
                  <c:v>0.056000000000000015</c:v>
                </c:pt>
                <c:pt idx="67">
                  <c:v>0.057000000000000016</c:v>
                </c:pt>
                <c:pt idx="68">
                  <c:v>0.05800000000000002</c:v>
                </c:pt>
                <c:pt idx="69">
                  <c:v>0.05900000000000002</c:v>
                </c:pt>
                <c:pt idx="70">
                  <c:v>0.06000000000000002</c:v>
                </c:pt>
                <c:pt idx="71">
                  <c:v>0.06100000000000002</c:v>
                </c:pt>
                <c:pt idx="72">
                  <c:v>0.06200000000000002</c:v>
                </c:pt>
                <c:pt idx="73">
                  <c:v>0.06300000000000001</c:v>
                </c:pt>
                <c:pt idx="74">
                  <c:v>0.06400000000000002</c:v>
                </c:pt>
                <c:pt idx="75">
                  <c:v>0.06500000000000002</c:v>
                </c:pt>
                <c:pt idx="76">
                  <c:v>0.06600000000000002</c:v>
                </c:pt>
                <c:pt idx="77">
                  <c:v>0.06700000000000002</c:v>
                </c:pt>
                <c:pt idx="78">
                  <c:v>0.06800000000000002</c:v>
                </c:pt>
                <c:pt idx="79">
                  <c:v>0.06900000000000002</c:v>
                </c:pt>
                <c:pt idx="80">
                  <c:v>0.07000000000000002</c:v>
                </c:pt>
                <c:pt idx="81">
                  <c:v>0.07100000000000002</c:v>
                </c:pt>
                <c:pt idx="82">
                  <c:v>0.07200000000000002</c:v>
                </c:pt>
                <c:pt idx="83">
                  <c:v>0.07300000000000002</c:v>
                </c:pt>
                <c:pt idx="84">
                  <c:v>0.07400000000000002</c:v>
                </c:pt>
                <c:pt idx="85">
                  <c:v>0.07500000000000002</c:v>
                </c:pt>
                <c:pt idx="86">
                  <c:v>0.07600000000000003</c:v>
                </c:pt>
                <c:pt idx="87">
                  <c:v>0.07700000000000003</c:v>
                </c:pt>
                <c:pt idx="88">
                  <c:v>0.07800000000000003</c:v>
                </c:pt>
                <c:pt idx="89">
                  <c:v>0.07900000000000003</c:v>
                </c:pt>
                <c:pt idx="90">
                  <c:v>0.08000000000000003</c:v>
                </c:pt>
                <c:pt idx="91">
                  <c:v>0.08100000000000003</c:v>
                </c:pt>
                <c:pt idx="92">
                  <c:v>0.08200000000000003</c:v>
                </c:pt>
                <c:pt idx="93">
                  <c:v>0.08300000000000003</c:v>
                </c:pt>
                <c:pt idx="94">
                  <c:v>0.08400000000000003</c:v>
                </c:pt>
                <c:pt idx="95">
                  <c:v>0.08500000000000003</c:v>
                </c:pt>
                <c:pt idx="96">
                  <c:v>0.08600000000000003</c:v>
                </c:pt>
                <c:pt idx="97">
                  <c:v>0.08700000000000004</c:v>
                </c:pt>
                <c:pt idx="98">
                  <c:v>0.08800000000000004</c:v>
                </c:pt>
                <c:pt idx="99">
                  <c:v>0.08900000000000004</c:v>
                </c:pt>
                <c:pt idx="100">
                  <c:v>0.09000000000000004</c:v>
                </c:pt>
                <c:pt idx="101">
                  <c:v>0.09110000000000004</c:v>
                </c:pt>
                <c:pt idx="102">
                  <c:v>0.09220000000000005</c:v>
                </c:pt>
                <c:pt idx="103">
                  <c:v>0.09330000000000005</c:v>
                </c:pt>
                <c:pt idx="104">
                  <c:v>0.09440000000000005</c:v>
                </c:pt>
                <c:pt idx="105">
                  <c:v>0.09550000000000006</c:v>
                </c:pt>
                <c:pt idx="106">
                  <c:v>0.09660000000000006</c:v>
                </c:pt>
                <c:pt idx="107">
                  <c:v>0.09770000000000006</c:v>
                </c:pt>
                <c:pt idx="108">
                  <c:v>0.09880000000000007</c:v>
                </c:pt>
                <c:pt idx="109">
                  <c:v>0.09990000000000007</c:v>
                </c:pt>
                <c:pt idx="110">
                  <c:v>0.10100000000000008</c:v>
                </c:pt>
                <c:pt idx="111">
                  <c:v>0.10210000000000008</c:v>
                </c:pt>
                <c:pt idx="112">
                  <c:v>0.10320000000000008</c:v>
                </c:pt>
                <c:pt idx="113">
                  <c:v>0.10430000000000009</c:v>
                </c:pt>
                <c:pt idx="114">
                  <c:v>0.10540000000000009</c:v>
                </c:pt>
                <c:pt idx="115">
                  <c:v>0.1065000000000001</c:v>
                </c:pt>
                <c:pt idx="116">
                  <c:v>0.1076000000000001</c:v>
                </c:pt>
                <c:pt idx="117">
                  <c:v>0.1087000000000001</c:v>
                </c:pt>
                <c:pt idx="118">
                  <c:v>0.1098000000000001</c:v>
                </c:pt>
                <c:pt idx="119">
                  <c:v>0.11090000000000011</c:v>
                </c:pt>
                <c:pt idx="120">
                  <c:v>0.11200000000000011</c:v>
                </c:pt>
                <c:pt idx="121">
                  <c:v>0.11310000000000012</c:v>
                </c:pt>
                <c:pt idx="122">
                  <c:v>0.11420000000000012</c:v>
                </c:pt>
                <c:pt idx="123">
                  <c:v>0.11530000000000012</c:v>
                </c:pt>
                <c:pt idx="124">
                  <c:v>0.11640000000000013</c:v>
                </c:pt>
                <c:pt idx="125">
                  <c:v>0.11750000000000013</c:v>
                </c:pt>
                <c:pt idx="126">
                  <c:v>0.11860000000000014</c:v>
                </c:pt>
                <c:pt idx="127">
                  <c:v>0.11970000000000014</c:v>
                </c:pt>
                <c:pt idx="128">
                  <c:v>0.12080000000000014</c:v>
                </c:pt>
                <c:pt idx="129">
                  <c:v>0.12190000000000015</c:v>
                </c:pt>
                <c:pt idx="130">
                  <c:v>0.12300000000000015</c:v>
                </c:pt>
                <c:pt idx="131">
                  <c:v>0.12410000000000015</c:v>
                </c:pt>
                <c:pt idx="132">
                  <c:v>0.12520000000000014</c:v>
                </c:pt>
                <c:pt idx="133">
                  <c:v>0.12630000000000013</c:v>
                </c:pt>
                <c:pt idx="134">
                  <c:v>0.12740000000000012</c:v>
                </c:pt>
                <c:pt idx="135">
                  <c:v>0.12850000000000011</c:v>
                </c:pt>
                <c:pt idx="136">
                  <c:v>0.1296000000000001</c:v>
                </c:pt>
                <c:pt idx="137">
                  <c:v>0.1307000000000001</c:v>
                </c:pt>
                <c:pt idx="138">
                  <c:v>0.13180000000000008</c:v>
                </c:pt>
                <c:pt idx="139">
                  <c:v>0.13290000000000007</c:v>
                </c:pt>
                <c:pt idx="140">
                  <c:v>0.13400000000000006</c:v>
                </c:pt>
                <c:pt idx="141">
                  <c:v>0.13510000000000005</c:v>
                </c:pt>
                <c:pt idx="142">
                  <c:v>0.13620000000000004</c:v>
                </c:pt>
                <c:pt idx="143">
                  <c:v>0.13730000000000003</c:v>
                </c:pt>
                <c:pt idx="144">
                  <c:v>0.13840000000000002</c:v>
                </c:pt>
                <c:pt idx="145">
                  <c:v>0.1395</c:v>
                </c:pt>
                <c:pt idx="146">
                  <c:v>0.1406</c:v>
                </c:pt>
                <c:pt idx="147">
                  <c:v>0.1417</c:v>
                </c:pt>
                <c:pt idx="148">
                  <c:v>0.14279999999999998</c:v>
                </c:pt>
                <c:pt idx="149">
                  <c:v>0.14389999999999997</c:v>
                </c:pt>
                <c:pt idx="150">
                  <c:v>0.14499999999999996</c:v>
                </c:pt>
                <c:pt idx="151">
                  <c:v>0.14639999999999997</c:v>
                </c:pt>
                <c:pt idx="152">
                  <c:v>0.1478</c:v>
                </c:pt>
                <c:pt idx="153">
                  <c:v>0.1492</c:v>
                </c:pt>
                <c:pt idx="154">
                  <c:v>0.1506</c:v>
                </c:pt>
                <c:pt idx="155">
                  <c:v>0.15200000000000002</c:v>
                </c:pt>
                <c:pt idx="156">
                  <c:v>0.15340000000000004</c:v>
                </c:pt>
                <c:pt idx="157">
                  <c:v>0.15480000000000005</c:v>
                </c:pt>
                <c:pt idx="158">
                  <c:v>0.15620000000000006</c:v>
                </c:pt>
                <c:pt idx="159">
                  <c:v>0.15760000000000007</c:v>
                </c:pt>
                <c:pt idx="160">
                  <c:v>0.15900000000000009</c:v>
                </c:pt>
                <c:pt idx="161">
                  <c:v>0.1604000000000001</c:v>
                </c:pt>
                <c:pt idx="162">
                  <c:v>0.1618000000000001</c:v>
                </c:pt>
                <c:pt idx="163">
                  <c:v>0.16320000000000012</c:v>
                </c:pt>
                <c:pt idx="164">
                  <c:v>0.16460000000000014</c:v>
                </c:pt>
                <c:pt idx="165">
                  <c:v>0.16600000000000015</c:v>
                </c:pt>
                <c:pt idx="166">
                  <c:v>0.16740000000000016</c:v>
                </c:pt>
                <c:pt idx="167">
                  <c:v>0.16880000000000017</c:v>
                </c:pt>
                <c:pt idx="168">
                  <c:v>0.17020000000000018</c:v>
                </c:pt>
                <c:pt idx="169">
                  <c:v>0.1716000000000002</c:v>
                </c:pt>
                <c:pt idx="170">
                  <c:v>0.1730000000000002</c:v>
                </c:pt>
                <c:pt idx="171">
                  <c:v>0.17440000000000022</c:v>
                </c:pt>
                <c:pt idx="172">
                  <c:v>0.17580000000000023</c:v>
                </c:pt>
                <c:pt idx="173">
                  <c:v>0.17720000000000025</c:v>
                </c:pt>
                <c:pt idx="174">
                  <c:v>0.17860000000000026</c:v>
                </c:pt>
                <c:pt idx="175">
                  <c:v>0.18000000000000027</c:v>
                </c:pt>
                <c:pt idx="176">
                  <c:v>0.18140000000000028</c:v>
                </c:pt>
                <c:pt idx="177">
                  <c:v>0.1828000000000003</c:v>
                </c:pt>
                <c:pt idx="178">
                  <c:v>0.1842000000000003</c:v>
                </c:pt>
                <c:pt idx="179">
                  <c:v>0.18560000000000032</c:v>
                </c:pt>
                <c:pt idx="180">
                  <c:v>0.18700000000000033</c:v>
                </c:pt>
                <c:pt idx="181">
                  <c:v>0.18840000000000034</c:v>
                </c:pt>
                <c:pt idx="182">
                  <c:v>0.18980000000000036</c:v>
                </c:pt>
                <c:pt idx="183">
                  <c:v>0.19120000000000037</c:v>
                </c:pt>
                <c:pt idx="184">
                  <c:v>0.19260000000000038</c:v>
                </c:pt>
                <c:pt idx="185">
                  <c:v>0.1940000000000004</c:v>
                </c:pt>
                <c:pt idx="186">
                  <c:v>0.1954000000000004</c:v>
                </c:pt>
                <c:pt idx="187">
                  <c:v>0.19680000000000042</c:v>
                </c:pt>
                <c:pt idx="188">
                  <c:v>0.19820000000000043</c:v>
                </c:pt>
                <c:pt idx="189">
                  <c:v>0.19960000000000044</c:v>
                </c:pt>
                <c:pt idx="190">
                  <c:v>0.20100000000000046</c:v>
                </c:pt>
                <c:pt idx="191">
                  <c:v>0.20240000000000047</c:v>
                </c:pt>
                <c:pt idx="192">
                  <c:v>0.20380000000000048</c:v>
                </c:pt>
                <c:pt idx="193">
                  <c:v>0.2052000000000005</c:v>
                </c:pt>
                <c:pt idx="194">
                  <c:v>0.2066000000000005</c:v>
                </c:pt>
                <c:pt idx="195">
                  <c:v>0.20800000000000052</c:v>
                </c:pt>
                <c:pt idx="196">
                  <c:v>0.20940000000000053</c:v>
                </c:pt>
                <c:pt idx="197">
                  <c:v>0.21080000000000054</c:v>
                </c:pt>
                <c:pt idx="198">
                  <c:v>0.21220000000000055</c:v>
                </c:pt>
                <c:pt idx="199">
                  <c:v>0.21360000000000057</c:v>
                </c:pt>
                <c:pt idx="200">
                  <c:v>0.21500000000000058</c:v>
                </c:pt>
                <c:pt idx="201">
                  <c:v>0.26222000000000056</c:v>
                </c:pt>
                <c:pt idx="202">
                  <c:v>0.30552000000000057</c:v>
                </c:pt>
                <c:pt idx="203">
                  <c:v>0.3449000000000006</c:v>
                </c:pt>
                <c:pt idx="204">
                  <c:v>0.3803600000000006</c:v>
                </c:pt>
                <c:pt idx="205">
                  <c:v>0.4119000000000006</c:v>
                </c:pt>
                <c:pt idx="206">
                  <c:v>0.4395200000000006</c:v>
                </c:pt>
                <c:pt idx="207">
                  <c:v>0.4632200000000006</c:v>
                </c:pt>
                <c:pt idx="208">
                  <c:v>0.4830000000000006</c:v>
                </c:pt>
                <c:pt idx="209">
                  <c:v>0.4988600000000006</c:v>
                </c:pt>
                <c:pt idx="210">
                  <c:v>0.5108000000000006</c:v>
                </c:pt>
                <c:pt idx="211">
                  <c:v>0.5188200000000006</c:v>
                </c:pt>
                <c:pt idx="212">
                  <c:v>0.5229200000000006</c:v>
                </c:pt>
                <c:pt idx="213">
                  <c:v>0.5231000000000006</c:v>
                </c:pt>
                <c:pt idx="214">
                  <c:v>0.5193600000000006</c:v>
                </c:pt>
                <c:pt idx="215">
                  <c:v>0.5117000000000006</c:v>
                </c:pt>
                <c:pt idx="216">
                  <c:v>0.5001200000000006</c:v>
                </c:pt>
                <c:pt idx="217">
                  <c:v>0.48462000000000066</c:v>
                </c:pt>
                <c:pt idx="218">
                  <c:v>0.46520000000000067</c:v>
                </c:pt>
                <c:pt idx="219">
                  <c:v>0.4802000000000007</c:v>
                </c:pt>
                <c:pt idx="220">
                  <c:v>0.4952000000000007</c:v>
                </c:pt>
                <c:pt idx="221">
                  <c:v>0.5102000000000007</c:v>
                </c:pt>
                <c:pt idx="222">
                  <c:v>0.5252000000000007</c:v>
                </c:pt>
                <c:pt idx="223">
                  <c:v>0.5402000000000007</c:v>
                </c:pt>
                <c:pt idx="224">
                  <c:v>0.5552000000000007</c:v>
                </c:pt>
                <c:pt idx="225">
                  <c:v>0.5702000000000007</c:v>
                </c:pt>
                <c:pt idx="226">
                  <c:v>0.5852000000000007</c:v>
                </c:pt>
                <c:pt idx="227">
                  <c:v>0.6002000000000007</c:v>
                </c:pt>
                <c:pt idx="228">
                  <c:v>0.6152000000000007</c:v>
                </c:pt>
                <c:pt idx="229">
                  <c:v>0.6302000000000008</c:v>
                </c:pt>
                <c:pt idx="230">
                  <c:v>0.6452000000000008</c:v>
                </c:pt>
                <c:pt idx="231">
                  <c:v>0.6602000000000008</c:v>
                </c:pt>
                <c:pt idx="232">
                  <c:v>0.6752000000000008</c:v>
                </c:pt>
                <c:pt idx="233">
                  <c:v>0.6902000000000008</c:v>
                </c:pt>
                <c:pt idx="234">
                  <c:v>0.7052000000000008</c:v>
                </c:pt>
                <c:pt idx="235">
                  <c:v>0.7202000000000008</c:v>
                </c:pt>
                <c:pt idx="236">
                  <c:v>0.7010670000000009</c:v>
                </c:pt>
                <c:pt idx="237">
                  <c:v>0.6819340000000009</c:v>
                </c:pt>
                <c:pt idx="238">
                  <c:v>0.662801000000001</c:v>
                </c:pt>
                <c:pt idx="239">
                  <c:v>0.643668000000001</c:v>
                </c:pt>
                <c:pt idx="240">
                  <c:v>0.6245350000000011</c:v>
                </c:pt>
                <c:pt idx="241">
                  <c:v>0.6054020000000011</c:v>
                </c:pt>
                <c:pt idx="242">
                  <c:v>0.5862690000000012</c:v>
                </c:pt>
                <c:pt idx="243">
                  <c:v>0.5671360000000012</c:v>
                </c:pt>
                <c:pt idx="244">
                  <c:v>0.5480030000000012</c:v>
                </c:pt>
                <c:pt idx="245">
                  <c:v>0.5288700000000013</c:v>
                </c:pt>
                <c:pt idx="246">
                  <c:v>0.5097370000000013</c:v>
                </c:pt>
                <c:pt idx="247">
                  <c:v>0.4906040000000013</c:v>
                </c:pt>
                <c:pt idx="248">
                  <c:v>0.4714710000000013</c:v>
                </c:pt>
                <c:pt idx="249">
                  <c:v>0.4523380000000013</c:v>
                </c:pt>
                <c:pt idx="250">
                  <c:v>0.43</c:v>
                </c:pt>
                <c:pt idx="251">
                  <c:v>0.43</c:v>
                </c:pt>
                <c:pt idx="252">
                  <c:v>0.43</c:v>
                </c:pt>
                <c:pt idx="253">
                  <c:v>0.43</c:v>
                </c:pt>
                <c:pt idx="254">
                  <c:v>0.43</c:v>
                </c:pt>
                <c:pt idx="255">
                  <c:v>0.43</c:v>
                </c:pt>
                <c:pt idx="256">
                  <c:v>0.43</c:v>
                </c:pt>
                <c:pt idx="257">
                  <c:v>0.43</c:v>
                </c:pt>
                <c:pt idx="258">
                  <c:v>0.43</c:v>
                </c:pt>
                <c:pt idx="259">
                  <c:v>0.43</c:v>
                </c:pt>
                <c:pt idx="260">
                  <c:v>0.43</c:v>
                </c:pt>
                <c:pt idx="261">
                  <c:v>0.43</c:v>
                </c:pt>
                <c:pt idx="262">
                  <c:v>0.43</c:v>
                </c:pt>
                <c:pt idx="263">
                  <c:v>0.43</c:v>
                </c:pt>
                <c:pt idx="264">
                  <c:v>0.43</c:v>
                </c:pt>
                <c:pt idx="265">
                  <c:v>0.43</c:v>
                </c:pt>
                <c:pt idx="266">
                  <c:v>0.43</c:v>
                </c:pt>
                <c:pt idx="267">
                  <c:v>0.43</c:v>
                </c:pt>
                <c:pt idx="268">
                  <c:v>0.43</c:v>
                </c:pt>
                <c:pt idx="269">
                  <c:v>0.43</c:v>
                </c:pt>
                <c:pt idx="270">
                  <c:v>0.43</c:v>
                </c:pt>
                <c:pt idx="271">
                  <c:v>0.43</c:v>
                </c:pt>
                <c:pt idx="272">
                  <c:v>0.43</c:v>
                </c:pt>
                <c:pt idx="273">
                  <c:v>0.43</c:v>
                </c:pt>
                <c:pt idx="274">
                  <c:v>0.43</c:v>
                </c:pt>
                <c:pt idx="275">
                  <c:v>0.43</c:v>
                </c:pt>
                <c:pt idx="276">
                  <c:v>0.43</c:v>
                </c:pt>
                <c:pt idx="277">
                  <c:v>0.43</c:v>
                </c:pt>
                <c:pt idx="278">
                  <c:v>0.43</c:v>
                </c:pt>
                <c:pt idx="279">
                  <c:v>0.43</c:v>
                </c:pt>
                <c:pt idx="280">
                  <c:v>0.43</c:v>
                </c:pt>
                <c:pt idx="281">
                  <c:v>0.43</c:v>
                </c:pt>
                <c:pt idx="282">
                  <c:v>0.43</c:v>
                </c:pt>
                <c:pt idx="283">
                  <c:v>0.43</c:v>
                </c:pt>
                <c:pt idx="284">
                  <c:v>0.43</c:v>
                </c:pt>
                <c:pt idx="285">
                  <c:v>0.43</c:v>
                </c:pt>
                <c:pt idx="286">
                  <c:v>0.43</c:v>
                </c:pt>
                <c:pt idx="287">
                  <c:v>0.43</c:v>
                </c:pt>
                <c:pt idx="288">
                  <c:v>0.43</c:v>
                </c:pt>
                <c:pt idx="289">
                  <c:v>0.43</c:v>
                </c:pt>
                <c:pt idx="290">
                  <c:v>0.43</c:v>
                </c:pt>
                <c:pt idx="291">
                  <c:v>0.43</c:v>
                </c:pt>
                <c:pt idx="292">
                  <c:v>0.43</c:v>
                </c:pt>
                <c:pt idx="293">
                  <c:v>0.43</c:v>
                </c:pt>
                <c:pt idx="294">
                  <c:v>0.43</c:v>
                </c:pt>
                <c:pt idx="295">
                  <c:v>0.43</c:v>
                </c:pt>
                <c:pt idx="296">
                  <c:v>0.43</c:v>
                </c:pt>
                <c:pt idx="297">
                  <c:v>0.43</c:v>
                </c:pt>
                <c:pt idx="298">
                  <c:v>0.43</c:v>
                </c:pt>
                <c:pt idx="299">
                  <c:v>0.43</c:v>
                </c:pt>
                <c:pt idx="300">
                  <c:v>0.43</c:v>
                </c:pt>
                <c:pt idx="301">
                  <c:v>0.43</c:v>
                </c:pt>
                <c:pt idx="302">
                  <c:v>0.43</c:v>
                </c:pt>
                <c:pt idx="303">
                  <c:v>0.43</c:v>
                </c:pt>
                <c:pt idx="304">
                  <c:v>0.43</c:v>
                </c:pt>
                <c:pt idx="305">
                  <c:v>0.43</c:v>
                </c:pt>
                <c:pt idx="306">
                  <c:v>0.43</c:v>
                </c:pt>
                <c:pt idx="307">
                  <c:v>0.43</c:v>
                </c:pt>
                <c:pt idx="308">
                  <c:v>0.43</c:v>
                </c:pt>
                <c:pt idx="309">
                  <c:v>0.43</c:v>
                </c:pt>
                <c:pt idx="310">
                  <c:v>0.43</c:v>
                </c:pt>
                <c:pt idx="311">
                  <c:v>0.43</c:v>
                </c:pt>
                <c:pt idx="312">
                  <c:v>0.43</c:v>
                </c:pt>
                <c:pt idx="313">
                  <c:v>0.43</c:v>
                </c:pt>
                <c:pt idx="314">
                  <c:v>0.43</c:v>
                </c:pt>
                <c:pt idx="315">
                  <c:v>0.43</c:v>
                </c:pt>
                <c:pt idx="316">
                  <c:v>0.43</c:v>
                </c:pt>
                <c:pt idx="317">
                  <c:v>0.43</c:v>
                </c:pt>
                <c:pt idx="318">
                  <c:v>0.43</c:v>
                </c:pt>
                <c:pt idx="319">
                  <c:v>0.43</c:v>
                </c:pt>
                <c:pt idx="320">
                  <c:v>0.43</c:v>
                </c:pt>
                <c:pt idx="321">
                  <c:v>0.43</c:v>
                </c:pt>
                <c:pt idx="322">
                  <c:v>0.43</c:v>
                </c:pt>
                <c:pt idx="323">
                  <c:v>0.43</c:v>
                </c:pt>
                <c:pt idx="324">
                  <c:v>0.43</c:v>
                </c:pt>
                <c:pt idx="325">
                  <c:v>0.43</c:v>
                </c:pt>
                <c:pt idx="326">
                  <c:v>0.43</c:v>
                </c:pt>
                <c:pt idx="327">
                  <c:v>0.43</c:v>
                </c:pt>
                <c:pt idx="328">
                  <c:v>0.43</c:v>
                </c:pt>
                <c:pt idx="329">
                  <c:v>0.43</c:v>
                </c:pt>
                <c:pt idx="330">
                  <c:v>0.43</c:v>
                </c:pt>
                <c:pt idx="331">
                  <c:v>0.43</c:v>
                </c:pt>
                <c:pt idx="332">
                  <c:v>0.43</c:v>
                </c:pt>
                <c:pt idx="333">
                  <c:v>0.43</c:v>
                </c:pt>
                <c:pt idx="334">
                  <c:v>0.43</c:v>
                </c:pt>
                <c:pt idx="335">
                  <c:v>0.43</c:v>
                </c:pt>
                <c:pt idx="336">
                  <c:v>0.43</c:v>
                </c:pt>
                <c:pt idx="337">
                  <c:v>0.43</c:v>
                </c:pt>
                <c:pt idx="338">
                  <c:v>0.43</c:v>
                </c:pt>
                <c:pt idx="339">
                  <c:v>0.43</c:v>
                </c:pt>
                <c:pt idx="340">
                  <c:v>0.43</c:v>
                </c:pt>
                <c:pt idx="341">
                  <c:v>0.43</c:v>
                </c:pt>
                <c:pt idx="342">
                  <c:v>0.43</c:v>
                </c:pt>
                <c:pt idx="343">
                  <c:v>0.43</c:v>
                </c:pt>
                <c:pt idx="344">
                  <c:v>0.43</c:v>
                </c:pt>
                <c:pt idx="345">
                  <c:v>0.43</c:v>
                </c:pt>
                <c:pt idx="346">
                  <c:v>0.43</c:v>
                </c:pt>
                <c:pt idx="347">
                  <c:v>0.43</c:v>
                </c:pt>
                <c:pt idx="348">
                  <c:v>0.43</c:v>
                </c:pt>
                <c:pt idx="349">
                  <c:v>0.43</c:v>
                </c:pt>
                <c:pt idx="350">
                  <c:v>0.43</c:v>
                </c:pt>
              </c:numCache>
            </c:numRef>
          </c:val>
          <c:smooth val="0"/>
        </c:ser>
        <c:ser>
          <c:idx val="2"/>
          <c:order val="2"/>
          <c:tx>
            <c:v>Assorbimento oceani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modello!$F$4:$F$354</c:f>
              <c:numCache>
                <c:ptCount val="351"/>
                <c:pt idx="0">
                  <c:v>1750</c:v>
                </c:pt>
                <c:pt idx="1">
                  <c:v>1751</c:v>
                </c:pt>
                <c:pt idx="2">
                  <c:v>1752</c:v>
                </c:pt>
                <c:pt idx="3">
                  <c:v>1753</c:v>
                </c:pt>
                <c:pt idx="4">
                  <c:v>1754</c:v>
                </c:pt>
                <c:pt idx="5">
                  <c:v>1755</c:v>
                </c:pt>
                <c:pt idx="6">
                  <c:v>1756</c:v>
                </c:pt>
                <c:pt idx="7">
                  <c:v>1757</c:v>
                </c:pt>
                <c:pt idx="8">
                  <c:v>1758</c:v>
                </c:pt>
                <c:pt idx="9">
                  <c:v>1759</c:v>
                </c:pt>
                <c:pt idx="10">
                  <c:v>1760</c:v>
                </c:pt>
                <c:pt idx="11">
                  <c:v>1761</c:v>
                </c:pt>
                <c:pt idx="12">
                  <c:v>1762</c:v>
                </c:pt>
                <c:pt idx="13">
                  <c:v>1763</c:v>
                </c:pt>
                <c:pt idx="14">
                  <c:v>1764</c:v>
                </c:pt>
                <c:pt idx="15">
                  <c:v>1765</c:v>
                </c:pt>
                <c:pt idx="16">
                  <c:v>1766</c:v>
                </c:pt>
                <c:pt idx="17">
                  <c:v>1767</c:v>
                </c:pt>
                <c:pt idx="18">
                  <c:v>1768</c:v>
                </c:pt>
                <c:pt idx="19">
                  <c:v>1769</c:v>
                </c:pt>
                <c:pt idx="20">
                  <c:v>1770</c:v>
                </c:pt>
                <c:pt idx="21">
                  <c:v>1771</c:v>
                </c:pt>
                <c:pt idx="22">
                  <c:v>1772</c:v>
                </c:pt>
                <c:pt idx="23">
                  <c:v>1773</c:v>
                </c:pt>
                <c:pt idx="24">
                  <c:v>1774</c:v>
                </c:pt>
                <c:pt idx="25">
                  <c:v>1775</c:v>
                </c:pt>
                <c:pt idx="26">
                  <c:v>1776</c:v>
                </c:pt>
                <c:pt idx="27">
                  <c:v>1777</c:v>
                </c:pt>
                <c:pt idx="28">
                  <c:v>1778</c:v>
                </c:pt>
                <c:pt idx="29">
                  <c:v>1779</c:v>
                </c:pt>
                <c:pt idx="30">
                  <c:v>1780</c:v>
                </c:pt>
                <c:pt idx="31">
                  <c:v>1781</c:v>
                </c:pt>
                <c:pt idx="32">
                  <c:v>1782</c:v>
                </c:pt>
                <c:pt idx="33">
                  <c:v>1783</c:v>
                </c:pt>
                <c:pt idx="34">
                  <c:v>1784</c:v>
                </c:pt>
                <c:pt idx="35">
                  <c:v>1785</c:v>
                </c:pt>
                <c:pt idx="36">
                  <c:v>1786</c:v>
                </c:pt>
                <c:pt idx="37">
                  <c:v>1787</c:v>
                </c:pt>
                <c:pt idx="38">
                  <c:v>1788</c:v>
                </c:pt>
                <c:pt idx="39">
                  <c:v>1789</c:v>
                </c:pt>
                <c:pt idx="40">
                  <c:v>1790</c:v>
                </c:pt>
                <c:pt idx="41">
                  <c:v>1791</c:v>
                </c:pt>
                <c:pt idx="42">
                  <c:v>1792</c:v>
                </c:pt>
                <c:pt idx="43">
                  <c:v>1793</c:v>
                </c:pt>
                <c:pt idx="44">
                  <c:v>1794</c:v>
                </c:pt>
                <c:pt idx="45">
                  <c:v>1795</c:v>
                </c:pt>
                <c:pt idx="46">
                  <c:v>1796</c:v>
                </c:pt>
                <c:pt idx="47">
                  <c:v>1797</c:v>
                </c:pt>
                <c:pt idx="48">
                  <c:v>1798</c:v>
                </c:pt>
                <c:pt idx="49">
                  <c:v>1799</c:v>
                </c:pt>
                <c:pt idx="50">
                  <c:v>1800</c:v>
                </c:pt>
                <c:pt idx="51">
                  <c:v>1801</c:v>
                </c:pt>
                <c:pt idx="52">
                  <c:v>1802</c:v>
                </c:pt>
                <c:pt idx="53">
                  <c:v>1803</c:v>
                </c:pt>
                <c:pt idx="54">
                  <c:v>1804</c:v>
                </c:pt>
                <c:pt idx="55">
                  <c:v>1805</c:v>
                </c:pt>
                <c:pt idx="56">
                  <c:v>1806</c:v>
                </c:pt>
                <c:pt idx="57">
                  <c:v>1807</c:v>
                </c:pt>
                <c:pt idx="58">
                  <c:v>1808</c:v>
                </c:pt>
                <c:pt idx="59">
                  <c:v>1809</c:v>
                </c:pt>
                <c:pt idx="60">
                  <c:v>1810</c:v>
                </c:pt>
                <c:pt idx="61">
                  <c:v>1811</c:v>
                </c:pt>
                <c:pt idx="62">
                  <c:v>1812</c:v>
                </c:pt>
                <c:pt idx="63">
                  <c:v>1813</c:v>
                </c:pt>
                <c:pt idx="64">
                  <c:v>1814</c:v>
                </c:pt>
                <c:pt idx="65">
                  <c:v>1815</c:v>
                </c:pt>
                <c:pt idx="66">
                  <c:v>1816</c:v>
                </c:pt>
                <c:pt idx="67">
                  <c:v>1817</c:v>
                </c:pt>
                <c:pt idx="68">
                  <c:v>1818</c:v>
                </c:pt>
                <c:pt idx="69">
                  <c:v>1819</c:v>
                </c:pt>
                <c:pt idx="70">
                  <c:v>1820</c:v>
                </c:pt>
                <c:pt idx="71">
                  <c:v>1821</c:v>
                </c:pt>
                <c:pt idx="72">
                  <c:v>1822</c:v>
                </c:pt>
                <c:pt idx="73">
                  <c:v>1823</c:v>
                </c:pt>
                <c:pt idx="74">
                  <c:v>1824</c:v>
                </c:pt>
                <c:pt idx="75">
                  <c:v>1825</c:v>
                </c:pt>
                <c:pt idx="76">
                  <c:v>1826</c:v>
                </c:pt>
                <c:pt idx="77">
                  <c:v>1827</c:v>
                </c:pt>
                <c:pt idx="78">
                  <c:v>1828</c:v>
                </c:pt>
                <c:pt idx="79">
                  <c:v>1829</c:v>
                </c:pt>
                <c:pt idx="80">
                  <c:v>1830</c:v>
                </c:pt>
                <c:pt idx="81">
                  <c:v>1831</c:v>
                </c:pt>
                <c:pt idx="82">
                  <c:v>1832</c:v>
                </c:pt>
                <c:pt idx="83">
                  <c:v>1833</c:v>
                </c:pt>
                <c:pt idx="84">
                  <c:v>1834</c:v>
                </c:pt>
                <c:pt idx="85">
                  <c:v>1835</c:v>
                </c:pt>
                <c:pt idx="86">
                  <c:v>1836</c:v>
                </c:pt>
                <c:pt idx="87">
                  <c:v>1837</c:v>
                </c:pt>
                <c:pt idx="88">
                  <c:v>1838</c:v>
                </c:pt>
                <c:pt idx="89">
                  <c:v>1839</c:v>
                </c:pt>
                <c:pt idx="90">
                  <c:v>1840</c:v>
                </c:pt>
                <c:pt idx="91">
                  <c:v>1841</c:v>
                </c:pt>
                <c:pt idx="92">
                  <c:v>1842</c:v>
                </c:pt>
                <c:pt idx="93">
                  <c:v>1843</c:v>
                </c:pt>
                <c:pt idx="94">
                  <c:v>1844</c:v>
                </c:pt>
                <c:pt idx="95">
                  <c:v>1845</c:v>
                </c:pt>
                <c:pt idx="96">
                  <c:v>1846</c:v>
                </c:pt>
                <c:pt idx="97">
                  <c:v>1847</c:v>
                </c:pt>
                <c:pt idx="98">
                  <c:v>1848</c:v>
                </c:pt>
                <c:pt idx="99">
                  <c:v>1849</c:v>
                </c:pt>
                <c:pt idx="100">
                  <c:v>1850</c:v>
                </c:pt>
                <c:pt idx="101">
                  <c:v>1851</c:v>
                </c:pt>
                <c:pt idx="102">
                  <c:v>1852</c:v>
                </c:pt>
                <c:pt idx="103">
                  <c:v>1853</c:v>
                </c:pt>
                <c:pt idx="104">
                  <c:v>1854</c:v>
                </c:pt>
                <c:pt idx="105">
                  <c:v>1855</c:v>
                </c:pt>
                <c:pt idx="106">
                  <c:v>1856</c:v>
                </c:pt>
                <c:pt idx="107">
                  <c:v>1857</c:v>
                </c:pt>
                <c:pt idx="108">
                  <c:v>1858</c:v>
                </c:pt>
                <c:pt idx="109">
                  <c:v>1859</c:v>
                </c:pt>
                <c:pt idx="110">
                  <c:v>1860</c:v>
                </c:pt>
                <c:pt idx="111">
                  <c:v>1861</c:v>
                </c:pt>
                <c:pt idx="112">
                  <c:v>1862</c:v>
                </c:pt>
                <c:pt idx="113">
                  <c:v>1863</c:v>
                </c:pt>
                <c:pt idx="114">
                  <c:v>1864</c:v>
                </c:pt>
                <c:pt idx="115">
                  <c:v>1865</c:v>
                </c:pt>
                <c:pt idx="116">
                  <c:v>1866</c:v>
                </c:pt>
                <c:pt idx="117">
                  <c:v>1867</c:v>
                </c:pt>
                <c:pt idx="118">
                  <c:v>1868</c:v>
                </c:pt>
                <c:pt idx="119">
                  <c:v>1869</c:v>
                </c:pt>
                <c:pt idx="120">
                  <c:v>1870</c:v>
                </c:pt>
                <c:pt idx="121">
                  <c:v>1871</c:v>
                </c:pt>
                <c:pt idx="122">
                  <c:v>1872</c:v>
                </c:pt>
                <c:pt idx="123">
                  <c:v>1873</c:v>
                </c:pt>
                <c:pt idx="124">
                  <c:v>1874</c:v>
                </c:pt>
                <c:pt idx="125">
                  <c:v>1875</c:v>
                </c:pt>
                <c:pt idx="126">
                  <c:v>1876</c:v>
                </c:pt>
                <c:pt idx="127">
                  <c:v>1877</c:v>
                </c:pt>
                <c:pt idx="128">
                  <c:v>1878</c:v>
                </c:pt>
                <c:pt idx="129">
                  <c:v>1879</c:v>
                </c:pt>
                <c:pt idx="130">
                  <c:v>1880</c:v>
                </c:pt>
                <c:pt idx="131">
                  <c:v>1881</c:v>
                </c:pt>
                <c:pt idx="132">
                  <c:v>1882</c:v>
                </c:pt>
                <c:pt idx="133">
                  <c:v>1883</c:v>
                </c:pt>
                <c:pt idx="134">
                  <c:v>1884</c:v>
                </c:pt>
                <c:pt idx="135">
                  <c:v>1885</c:v>
                </c:pt>
                <c:pt idx="136">
                  <c:v>1886</c:v>
                </c:pt>
                <c:pt idx="137">
                  <c:v>1887</c:v>
                </c:pt>
                <c:pt idx="138">
                  <c:v>1888</c:v>
                </c:pt>
                <c:pt idx="139">
                  <c:v>1889</c:v>
                </c:pt>
                <c:pt idx="140">
                  <c:v>1890</c:v>
                </c:pt>
                <c:pt idx="141">
                  <c:v>1891</c:v>
                </c:pt>
                <c:pt idx="142">
                  <c:v>1892</c:v>
                </c:pt>
                <c:pt idx="143">
                  <c:v>1893</c:v>
                </c:pt>
                <c:pt idx="144">
                  <c:v>1894</c:v>
                </c:pt>
                <c:pt idx="145">
                  <c:v>1895</c:v>
                </c:pt>
                <c:pt idx="146">
                  <c:v>1896</c:v>
                </c:pt>
                <c:pt idx="147">
                  <c:v>1897</c:v>
                </c:pt>
                <c:pt idx="148">
                  <c:v>1898</c:v>
                </c:pt>
                <c:pt idx="149">
                  <c:v>1899</c:v>
                </c:pt>
                <c:pt idx="150">
                  <c:v>1900</c:v>
                </c:pt>
                <c:pt idx="151">
                  <c:v>1901</c:v>
                </c:pt>
                <c:pt idx="152">
                  <c:v>1902</c:v>
                </c:pt>
                <c:pt idx="153">
                  <c:v>1903</c:v>
                </c:pt>
                <c:pt idx="154">
                  <c:v>1904</c:v>
                </c:pt>
                <c:pt idx="155">
                  <c:v>1905</c:v>
                </c:pt>
                <c:pt idx="156">
                  <c:v>1906</c:v>
                </c:pt>
                <c:pt idx="157">
                  <c:v>1907</c:v>
                </c:pt>
                <c:pt idx="158">
                  <c:v>1908</c:v>
                </c:pt>
                <c:pt idx="159">
                  <c:v>1909</c:v>
                </c:pt>
                <c:pt idx="160">
                  <c:v>1910</c:v>
                </c:pt>
                <c:pt idx="161">
                  <c:v>1911</c:v>
                </c:pt>
                <c:pt idx="162">
                  <c:v>1912</c:v>
                </c:pt>
                <c:pt idx="163">
                  <c:v>1913</c:v>
                </c:pt>
                <c:pt idx="164">
                  <c:v>1914</c:v>
                </c:pt>
                <c:pt idx="165">
                  <c:v>1915</c:v>
                </c:pt>
                <c:pt idx="166">
                  <c:v>1916</c:v>
                </c:pt>
                <c:pt idx="167">
                  <c:v>1917</c:v>
                </c:pt>
                <c:pt idx="168">
                  <c:v>1918</c:v>
                </c:pt>
                <c:pt idx="169">
                  <c:v>1919</c:v>
                </c:pt>
                <c:pt idx="170">
                  <c:v>1920</c:v>
                </c:pt>
                <c:pt idx="171">
                  <c:v>1921</c:v>
                </c:pt>
                <c:pt idx="172">
                  <c:v>1922</c:v>
                </c:pt>
                <c:pt idx="173">
                  <c:v>1923</c:v>
                </c:pt>
                <c:pt idx="174">
                  <c:v>1924</c:v>
                </c:pt>
                <c:pt idx="175">
                  <c:v>1925</c:v>
                </c:pt>
                <c:pt idx="176">
                  <c:v>1926</c:v>
                </c:pt>
                <c:pt idx="177">
                  <c:v>1927</c:v>
                </c:pt>
                <c:pt idx="178">
                  <c:v>1928</c:v>
                </c:pt>
                <c:pt idx="179">
                  <c:v>1929</c:v>
                </c:pt>
                <c:pt idx="180">
                  <c:v>1930</c:v>
                </c:pt>
                <c:pt idx="181">
                  <c:v>1931</c:v>
                </c:pt>
                <c:pt idx="182">
                  <c:v>1932</c:v>
                </c:pt>
                <c:pt idx="183">
                  <c:v>1933</c:v>
                </c:pt>
                <c:pt idx="184">
                  <c:v>1934</c:v>
                </c:pt>
                <c:pt idx="185">
                  <c:v>1935</c:v>
                </c:pt>
                <c:pt idx="186">
                  <c:v>1936</c:v>
                </c:pt>
                <c:pt idx="187">
                  <c:v>1937</c:v>
                </c:pt>
                <c:pt idx="188">
                  <c:v>1938</c:v>
                </c:pt>
                <c:pt idx="189">
                  <c:v>1939</c:v>
                </c:pt>
                <c:pt idx="190">
                  <c:v>1940</c:v>
                </c:pt>
                <c:pt idx="191">
                  <c:v>1941</c:v>
                </c:pt>
                <c:pt idx="192">
                  <c:v>1942</c:v>
                </c:pt>
                <c:pt idx="193">
                  <c:v>1943</c:v>
                </c:pt>
                <c:pt idx="194">
                  <c:v>1944</c:v>
                </c:pt>
                <c:pt idx="195">
                  <c:v>1945</c:v>
                </c:pt>
                <c:pt idx="196">
                  <c:v>1946</c:v>
                </c:pt>
                <c:pt idx="197">
                  <c:v>1947</c:v>
                </c:pt>
                <c:pt idx="198">
                  <c:v>1948</c:v>
                </c:pt>
                <c:pt idx="199">
                  <c:v>1949</c:v>
                </c:pt>
                <c:pt idx="200">
                  <c:v>1950</c:v>
                </c:pt>
                <c:pt idx="201">
                  <c:v>1951</c:v>
                </c:pt>
                <c:pt idx="202">
                  <c:v>1952</c:v>
                </c:pt>
                <c:pt idx="203">
                  <c:v>1953</c:v>
                </c:pt>
                <c:pt idx="204">
                  <c:v>1954</c:v>
                </c:pt>
                <c:pt idx="205">
                  <c:v>1955</c:v>
                </c:pt>
                <c:pt idx="206">
                  <c:v>1956</c:v>
                </c:pt>
                <c:pt idx="207">
                  <c:v>1957</c:v>
                </c:pt>
                <c:pt idx="208">
                  <c:v>1958</c:v>
                </c:pt>
                <c:pt idx="209">
                  <c:v>1959</c:v>
                </c:pt>
                <c:pt idx="210">
                  <c:v>1960</c:v>
                </c:pt>
                <c:pt idx="211">
                  <c:v>1961</c:v>
                </c:pt>
                <c:pt idx="212">
                  <c:v>1962</c:v>
                </c:pt>
                <c:pt idx="213">
                  <c:v>1963</c:v>
                </c:pt>
                <c:pt idx="214">
                  <c:v>1964</c:v>
                </c:pt>
                <c:pt idx="215">
                  <c:v>1965</c:v>
                </c:pt>
                <c:pt idx="216">
                  <c:v>1966</c:v>
                </c:pt>
                <c:pt idx="217">
                  <c:v>1967</c:v>
                </c:pt>
                <c:pt idx="218">
                  <c:v>1968</c:v>
                </c:pt>
                <c:pt idx="219">
                  <c:v>1969</c:v>
                </c:pt>
                <c:pt idx="220">
                  <c:v>1970</c:v>
                </c:pt>
                <c:pt idx="221">
                  <c:v>1971</c:v>
                </c:pt>
                <c:pt idx="222">
                  <c:v>1972</c:v>
                </c:pt>
                <c:pt idx="223">
                  <c:v>1973</c:v>
                </c:pt>
                <c:pt idx="224">
                  <c:v>1974</c:v>
                </c:pt>
                <c:pt idx="225">
                  <c:v>1975</c:v>
                </c:pt>
                <c:pt idx="226">
                  <c:v>1976</c:v>
                </c:pt>
                <c:pt idx="227">
                  <c:v>1977</c:v>
                </c:pt>
                <c:pt idx="228">
                  <c:v>1978</c:v>
                </c:pt>
                <c:pt idx="229">
                  <c:v>1979</c:v>
                </c:pt>
                <c:pt idx="230">
                  <c:v>1980</c:v>
                </c:pt>
                <c:pt idx="231">
                  <c:v>1981</c:v>
                </c:pt>
                <c:pt idx="232">
                  <c:v>1982</c:v>
                </c:pt>
                <c:pt idx="233">
                  <c:v>1983</c:v>
                </c:pt>
                <c:pt idx="234">
                  <c:v>1984</c:v>
                </c:pt>
                <c:pt idx="235">
                  <c:v>1985</c:v>
                </c:pt>
                <c:pt idx="236">
                  <c:v>1986</c:v>
                </c:pt>
                <c:pt idx="237">
                  <c:v>1987</c:v>
                </c:pt>
                <c:pt idx="238">
                  <c:v>1988</c:v>
                </c:pt>
                <c:pt idx="239">
                  <c:v>1989</c:v>
                </c:pt>
                <c:pt idx="240">
                  <c:v>1990</c:v>
                </c:pt>
                <c:pt idx="241">
                  <c:v>1991</c:v>
                </c:pt>
                <c:pt idx="242">
                  <c:v>1992</c:v>
                </c:pt>
                <c:pt idx="243">
                  <c:v>1993</c:v>
                </c:pt>
                <c:pt idx="244">
                  <c:v>1994</c:v>
                </c:pt>
                <c:pt idx="245">
                  <c:v>1995</c:v>
                </c:pt>
                <c:pt idx="246">
                  <c:v>1996</c:v>
                </c:pt>
                <c:pt idx="247">
                  <c:v>1997</c:v>
                </c:pt>
                <c:pt idx="248">
                  <c:v>1998</c:v>
                </c:pt>
                <c:pt idx="249">
                  <c:v>1999</c:v>
                </c:pt>
                <c:pt idx="250">
                  <c:v>2000</c:v>
                </c:pt>
                <c:pt idx="251">
                  <c:v>2001</c:v>
                </c:pt>
                <c:pt idx="252">
                  <c:v>2002</c:v>
                </c:pt>
                <c:pt idx="253">
                  <c:v>2003</c:v>
                </c:pt>
                <c:pt idx="254">
                  <c:v>2004</c:v>
                </c:pt>
                <c:pt idx="255">
                  <c:v>2005</c:v>
                </c:pt>
                <c:pt idx="256">
                  <c:v>2006</c:v>
                </c:pt>
                <c:pt idx="257">
                  <c:v>2007</c:v>
                </c:pt>
                <c:pt idx="258">
                  <c:v>2008</c:v>
                </c:pt>
                <c:pt idx="259">
                  <c:v>2009</c:v>
                </c:pt>
                <c:pt idx="260">
                  <c:v>2010</c:v>
                </c:pt>
                <c:pt idx="261">
                  <c:v>2011</c:v>
                </c:pt>
                <c:pt idx="262">
                  <c:v>2012</c:v>
                </c:pt>
                <c:pt idx="263">
                  <c:v>2013</c:v>
                </c:pt>
                <c:pt idx="264">
                  <c:v>2014</c:v>
                </c:pt>
                <c:pt idx="265">
                  <c:v>2015</c:v>
                </c:pt>
                <c:pt idx="266">
                  <c:v>2016</c:v>
                </c:pt>
                <c:pt idx="267">
                  <c:v>2017</c:v>
                </c:pt>
                <c:pt idx="268">
                  <c:v>2018</c:v>
                </c:pt>
                <c:pt idx="269">
                  <c:v>2019</c:v>
                </c:pt>
                <c:pt idx="270">
                  <c:v>2020</c:v>
                </c:pt>
                <c:pt idx="271">
                  <c:v>2021</c:v>
                </c:pt>
                <c:pt idx="272">
                  <c:v>2022</c:v>
                </c:pt>
                <c:pt idx="273">
                  <c:v>2023</c:v>
                </c:pt>
                <c:pt idx="274">
                  <c:v>2024</c:v>
                </c:pt>
                <c:pt idx="275">
                  <c:v>2025</c:v>
                </c:pt>
                <c:pt idx="276">
                  <c:v>2026</c:v>
                </c:pt>
                <c:pt idx="277">
                  <c:v>2027</c:v>
                </c:pt>
                <c:pt idx="278">
                  <c:v>2028</c:v>
                </c:pt>
                <c:pt idx="279">
                  <c:v>2029</c:v>
                </c:pt>
                <c:pt idx="280">
                  <c:v>2030</c:v>
                </c:pt>
                <c:pt idx="281">
                  <c:v>2031</c:v>
                </c:pt>
                <c:pt idx="282">
                  <c:v>2032</c:v>
                </c:pt>
                <c:pt idx="283">
                  <c:v>2033</c:v>
                </c:pt>
                <c:pt idx="284">
                  <c:v>2034</c:v>
                </c:pt>
                <c:pt idx="285">
                  <c:v>2035</c:v>
                </c:pt>
                <c:pt idx="286">
                  <c:v>2036</c:v>
                </c:pt>
                <c:pt idx="287">
                  <c:v>2037</c:v>
                </c:pt>
                <c:pt idx="288">
                  <c:v>2038</c:v>
                </c:pt>
                <c:pt idx="289">
                  <c:v>2039</c:v>
                </c:pt>
                <c:pt idx="290">
                  <c:v>2040</c:v>
                </c:pt>
                <c:pt idx="291">
                  <c:v>2041</c:v>
                </c:pt>
                <c:pt idx="292">
                  <c:v>2042</c:v>
                </c:pt>
                <c:pt idx="293">
                  <c:v>2043</c:v>
                </c:pt>
                <c:pt idx="294">
                  <c:v>2044</c:v>
                </c:pt>
                <c:pt idx="295">
                  <c:v>2045</c:v>
                </c:pt>
                <c:pt idx="296">
                  <c:v>2046</c:v>
                </c:pt>
                <c:pt idx="297">
                  <c:v>2047</c:v>
                </c:pt>
                <c:pt idx="298">
                  <c:v>2048</c:v>
                </c:pt>
                <c:pt idx="299">
                  <c:v>2049</c:v>
                </c:pt>
                <c:pt idx="300">
                  <c:v>2050</c:v>
                </c:pt>
                <c:pt idx="301">
                  <c:v>2051</c:v>
                </c:pt>
                <c:pt idx="302">
                  <c:v>2052</c:v>
                </c:pt>
                <c:pt idx="303">
                  <c:v>2053</c:v>
                </c:pt>
                <c:pt idx="304">
                  <c:v>2054</c:v>
                </c:pt>
                <c:pt idx="305">
                  <c:v>2055</c:v>
                </c:pt>
                <c:pt idx="306">
                  <c:v>2056</c:v>
                </c:pt>
                <c:pt idx="307">
                  <c:v>2057</c:v>
                </c:pt>
                <c:pt idx="308">
                  <c:v>2058</c:v>
                </c:pt>
                <c:pt idx="309">
                  <c:v>2059</c:v>
                </c:pt>
                <c:pt idx="310">
                  <c:v>2060</c:v>
                </c:pt>
                <c:pt idx="311">
                  <c:v>2061</c:v>
                </c:pt>
                <c:pt idx="312">
                  <c:v>2062</c:v>
                </c:pt>
                <c:pt idx="313">
                  <c:v>2063</c:v>
                </c:pt>
                <c:pt idx="314">
                  <c:v>2064</c:v>
                </c:pt>
                <c:pt idx="315">
                  <c:v>2065</c:v>
                </c:pt>
                <c:pt idx="316">
                  <c:v>2066</c:v>
                </c:pt>
                <c:pt idx="317">
                  <c:v>2067</c:v>
                </c:pt>
                <c:pt idx="318">
                  <c:v>2068</c:v>
                </c:pt>
                <c:pt idx="319">
                  <c:v>2069</c:v>
                </c:pt>
                <c:pt idx="320">
                  <c:v>2070</c:v>
                </c:pt>
                <c:pt idx="321">
                  <c:v>2071</c:v>
                </c:pt>
                <c:pt idx="322">
                  <c:v>2072</c:v>
                </c:pt>
                <c:pt idx="323">
                  <c:v>2073</c:v>
                </c:pt>
                <c:pt idx="324">
                  <c:v>2074</c:v>
                </c:pt>
                <c:pt idx="325">
                  <c:v>2075</c:v>
                </c:pt>
                <c:pt idx="326">
                  <c:v>2076</c:v>
                </c:pt>
                <c:pt idx="327">
                  <c:v>2077</c:v>
                </c:pt>
                <c:pt idx="328">
                  <c:v>2078</c:v>
                </c:pt>
                <c:pt idx="329">
                  <c:v>2079</c:v>
                </c:pt>
                <c:pt idx="330">
                  <c:v>2080</c:v>
                </c:pt>
                <c:pt idx="331">
                  <c:v>2081</c:v>
                </c:pt>
                <c:pt idx="332">
                  <c:v>2082</c:v>
                </c:pt>
                <c:pt idx="333">
                  <c:v>2083</c:v>
                </c:pt>
                <c:pt idx="334">
                  <c:v>2084</c:v>
                </c:pt>
                <c:pt idx="335">
                  <c:v>2085</c:v>
                </c:pt>
                <c:pt idx="336">
                  <c:v>2086</c:v>
                </c:pt>
                <c:pt idx="337">
                  <c:v>2087</c:v>
                </c:pt>
                <c:pt idx="338">
                  <c:v>2088</c:v>
                </c:pt>
                <c:pt idx="339">
                  <c:v>2089</c:v>
                </c:pt>
                <c:pt idx="340">
                  <c:v>2090</c:v>
                </c:pt>
                <c:pt idx="341">
                  <c:v>2091</c:v>
                </c:pt>
                <c:pt idx="342">
                  <c:v>2092</c:v>
                </c:pt>
                <c:pt idx="343">
                  <c:v>2093</c:v>
                </c:pt>
                <c:pt idx="344">
                  <c:v>2094</c:v>
                </c:pt>
                <c:pt idx="345">
                  <c:v>2095</c:v>
                </c:pt>
                <c:pt idx="346">
                  <c:v>2096</c:v>
                </c:pt>
                <c:pt idx="347">
                  <c:v>2097</c:v>
                </c:pt>
                <c:pt idx="348">
                  <c:v>2098</c:v>
                </c:pt>
                <c:pt idx="349">
                  <c:v>2099</c:v>
                </c:pt>
                <c:pt idx="350">
                  <c:v>2100</c:v>
                </c:pt>
              </c:numCache>
            </c:numRef>
          </c:cat>
          <c:val>
            <c:numRef>
              <c:f>modello!$J$4:$J$354</c:f>
              <c:numCache>
                <c:ptCount val="351"/>
                <c:pt idx="0">
                  <c:v>0</c:v>
                </c:pt>
                <c:pt idx="1">
                  <c:v>0</c:v>
                </c:pt>
                <c:pt idx="2">
                  <c:v>8.830022075348314E-05</c:v>
                </c:pt>
                <c:pt idx="3">
                  <c:v>0.0015123202138834502</c:v>
                </c:pt>
                <c:pt idx="4">
                  <c:v>0.0027006124743018107</c:v>
                </c:pt>
                <c:pt idx="5">
                  <c:v>0.004395579705706603</c:v>
                </c:pt>
                <c:pt idx="6">
                  <c:v>0.005883764780105644</c:v>
                </c:pt>
                <c:pt idx="7">
                  <c:v>0.007525249262876892</c:v>
                </c:pt>
                <c:pt idx="8">
                  <c:v>0.008985622695942231</c:v>
                </c:pt>
                <c:pt idx="9">
                  <c:v>0.010437712430634556</c:v>
                </c:pt>
                <c:pt idx="10">
                  <c:v>0.011726386863096702</c:v>
                </c:pt>
                <c:pt idx="11">
                  <c:v>0.012937183403378074</c:v>
                </c:pt>
                <c:pt idx="12">
                  <c:v>0.014001085348603491</c:v>
                </c:pt>
                <c:pt idx="13">
                  <c:v>0.01496327679123366</c:v>
                </c:pt>
                <c:pt idx="14">
                  <c:v>0.015796034498748918</c:v>
                </c:pt>
                <c:pt idx="15">
                  <c:v>0.01652568953736204</c:v>
                </c:pt>
                <c:pt idx="16">
                  <c:v>0.017144029790048858</c:v>
                </c:pt>
                <c:pt idx="17">
                  <c:v>0.017668261295533744</c:v>
                </c:pt>
                <c:pt idx="18">
                  <c:v>0.018099054352854957</c:v>
                </c:pt>
                <c:pt idx="19">
                  <c:v>0.018448861056929312</c:v>
                </c:pt>
                <c:pt idx="20">
                  <c:v>0.01872205265367353</c:v>
                </c:pt>
                <c:pt idx="21">
                  <c:v>0.018928298485700445</c:v>
                </c:pt>
                <c:pt idx="22">
                  <c:v>0.019073169391877236</c:v>
                </c:pt>
                <c:pt idx="23">
                  <c:v>0.019164467129365814</c:v>
                </c:pt>
                <c:pt idx="24">
                  <c:v>0.01920778764901904</c:v>
                </c:pt>
                <c:pt idx="25">
                  <c:v>0.019209524683632906</c:v>
                </c:pt>
                <c:pt idx="26">
                  <c:v>0.019174783814212427</c:v>
                </c:pt>
                <c:pt idx="27">
                  <c:v>0.01910881682563341</c:v>
                </c:pt>
                <c:pt idx="28">
                  <c:v>0.019016049582407622</c:v>
                </c:pt>
                <c:pt idx="29">
                  <c:v>0.018900775303680378</c:v>
                </c:pt>
                <c:pt idx="30">
                  <c:v>0.018766709434131192</c:v>
                </c:pt>
                <c:pt idx="31">
                  <c:v>0.018617332050138817</c:v>
                </c:pt>
                <c:pt idx="32">
                  <c:v>0.01845569119318417</c:v>
                </c:pt>
                <c:pt idx="33">
                  <c:v>0.01828457820431068</c:v>
                </c:pt>
                <c:pt idx="34">
                  <c:v>0.018106447282856472</c:v>
                </c:pt>
                <c:pt idx="35">
                  <c:v>0.01792351034389081</c:v>
                </c:pt>
                <c:pt idx="36">
                  <c:v>0.017737710058560032</c:v>
                </c:pt>
                <c:pt idx="37">
                  <c:v>0.017550775100877693</c:v>
                </c:pt>
                <c:pt idx="38">
                  <c:v>0.0173642169728502</c:v>
                </c:pt>
                <c:pt idx="39">
                  <c:v>0.017179365015147868</c:v>
                </c:pt>
                <c:pt idx="40">
                  <c:v>0.01699737305034382</c:v>
                </c:pt>
                <c:pt idx="41">
                  <c:v>0.01681924343788187</c:v>
                </c:pt>
                <c:pt idx="42">
                  <c:v>0.016645837059275557</c:v>
                </c:pt>
                <c:pt idx="43">
                  <c:v>0.01647789095499602</c:v>
                </c:pt>
                <c:pt idx="44">
                  <c:v>0.016316028738826285</c:v>
                </c:pt>
                <c:pt idx="45">
                  <c:v>0.01616077411950523</c:v>
                </c:pt>
                <c:pt idx="46">
                  <c:v>0.01601256051934301</c:v>
                </c:pt>
                <c:pt idx="47">
                  <c:v>0.015871741721921996</c:v>
                </c:pt>
                <c:pt idx="48">
                  <c:v>0.015738600260974473</c:v>
                </c:pt>
                <c:pt idx="49">
                  <c:v>0.015613355921868084</c:v>
                </c:pt>
                <c:pt idx="50">
                  <c:v>0.015496172828079077</c:v>
                </c:pt>
                <c:pt idx="51">
                  <c:v>0.015387166266675252</c:v>
                </c:pt>
                <c:pt idx="52">
                  <c:v>0.01530848361111291</c:v>
                </c:pt>
                <c:pt idx="53">
                  <c:v>0.015237272059608177</c:v>
                </c:pt>
                <c:pt idx="54">
                  <c:v>0.015185304034917474</c:v>
                </c:pt>
                <c:pt idx="55">
                  <c:v>0.015142092374947546</c:v>
                </c:pt>
                <c:pt idx="56">
                  <c:v>0.015113235694343027</c:v>
                </c:pt>
                <c:pt idx="57">
                  <c:v>0.015093652522943986</c:v>
                </c:pt>
                <c:pt idx="58">
                  <c:v>0.015085874027740335</c:v>
                </c:pt>
                <c:pt idx="59">
                  <c:v>0.015087349879649992</c:v>
                </c:pt>
                <c:pt idx="60">
                  <c:v>0.015099148980647879</c:v>
                </c:pt>
                <c:pt idx="61">
                  <c:v>0.015119926993640453</c:v>
                </c:pt>
                <c:pt idx="62">
                  <c:v>0.015150063875937972</c:v>
                </c:pt>
                <c:pt idx="63">
                  <c:v>0.015188794906990806</c:v>
                </c:pt>
                <c:pt idx="64">
                  <c:v>0.01523617899856537</c:v>
                </c:pt>
                <c:pt idx="65">
                  <c:v>0.015291733494898676</c:v>
                </c:pt>
                <c:pt idx="66">
                  <c:v>0.015355371012823941</c:v>
                </c:pt>
                <c:pt idx="67">
                  <c:v>0.015426749459963099</c:v>
                </c:pt>
                <c:pt idx="68">
                  <c:v>0.01550571816372445</c:v>
                </c:pt>
                <c:pt idx="69">
                  <c:v>0.01559200822251924</c:v>
                </c:pt>
                <c:pt idx="70">
                  <c:v>0.015685445051981863</c:v>
                </c:pt>
                <c:pt idx="71">
                  <c:v>0.015785800759492853</c:v>
                </c:pt>
                <c:pt idx="72">
                  <c:v>0.01589289543611462</c:v>
                </c:pt>
                <c:pt idx="73">
                  <c:v>0.016006526703433898</c:v>
                </c:pt>
                <c:pt idx="74">
                  <c:v>0.016126517981724223</c:v>
                </c:pt>
                <c:pt idx="75">
                  <c:v>0.016252684812378567</c:v>
                </c:pt>
                <c:pt idx="76">
                  <c:v>0.016384857837833874</c:v>
                </c:pt>
                <c:pt idx="77">
                  <c:v>0.016522866657456642</c:v>
                </c:pt>
                <c:pt idx="78">
                  <c:v>0.01666655073858695</c:v>
                </c:pt>
                <c:pt idx="79">
                  <c:v>0.016815751636017097</c:v>
                </c:pt>
                <c:pt idx="80">
                  <c:v>0.016970318139037693</c:v>
                </c:pt>
                <c:pt idx="81">
                  <c:v>0.017130102482986905</c:v>
                </c:pt>
                <c:pt idx="82">
                  <c:v>0.017294962741756098</c:v>
                </c:pt>
                <c:pt idx="83">
                  <c:v>0.017464760946385594</c:v>
                </c:pt>
                <c:pt idx="84">
                  <c:v>0.017639364161331432</c:v>
                </c:pt>
                <c:pt idx="85">
                  <c:v>0.01781864351529764</c:v>
                </c:pt>
                <c:pt idx="86">
                  <c:v>0.018002474649201267</c:v>
                </c:pt>
                <c:pt idx="87">
                  <c:v>0.01819073718500639</c:v>
                </c:pt>
                <c:pt idx="88">
                  <c:v>0.01838331487472792</c:v>
                </c:pt>
                <c:pt idx="89">
                  <c:v>0.018580095281186156</c:v>
                </c:pt>
                <c:pt idx="90">
                  <c:v>0.01878096978623213</c:v>
                </c:pt>
                <c:pt idx="91">
                  <c:v>0.018985833375564545</c:v>
                </c:pt>
                <c:pt idx="92">
                  <c:v>0.01919458458231298</c:v>
                </c:pt>
                <c:pt idx="93">
                  <c:v>0.019407125324626327</c:v>
                </c:pt>
                <c:pt idx="94">
                  <c:v>0.01962336082123586</c:v>
                </c:pt>
                <c:pt idx="95">
                  <c:v>0.019843199457534384</c:v>
                </c:pt>
                <c:pt idx="96">
                  <c:v>0.020066552690699183</c:v>
                </c:pt>
                <c:pt idx="97">
                  <c:v>0.020293334932774007</c:v>
                </c:pt>
                <c:pt idx="98">
                  <c:v>0.02052346345389097</c:v>
                </c:pt>
                <c:pt idx="99">
                  <c:v>0.020756858276677292</c:v>
                </c:pt>
                <c:pt idx="100">
                  <c:v>0.020993442081848813</c:v>
                </c:pt>
                <c:pt idx="101">
                  <c:v>0.021233140111168357</c:v>
                </c:pt>
                <c:pt idx="102">
                  <c:v>0.02198360634651267</c:v>
                </c:pt>
                <c:pt idx="103">
                  <c:v>0.023025369244506263</c:v>
                </c:pt>
                <c:pt idx="104">
                  <c:v>0.024291964993714322</c:v>
                </c:pt>
                <c:pt idx="105">
                  <c:v>0.02571700790003391</c:v>
                </c:pt>
                <c:pt idx="106">
                  <c:v>0.027274806304972938</c:v>
                </c:pt>
                <c:pt idx="107">
                  <c:v>0.028932856089358496</c:v>
                </c:pt>
                <c:pt idx="108">
                  <c:v>0.03067643153295376</c:v>
                </c:pt>
                <c:pt idx="109">
                  <c:v>0.03248721767054789</c:v>
                </c:pt>
                <c:pt idx="110">
                  <c:v>0.03435566252390281</c:v>
                </c:pt>
                <c:pt idx="111">
                  <c:v>0.03627074166650543</c:v>
                </c:pt>
                <c:pt idx="112">
                  <c:v>0.03822594376703525</c:v>
                </c:pt>
                <c:pt idx="113">
                  <c:v>0.040214286401326425</c:v>
                </c:pt>
                <c:pt idx="114">
                  <c:v>0.04223119019220636</c:v>
                </c:pt>
                <c:pt idx="115">
                  <c:v>0.04427203346355774</c:v>
                </c:pt>
                <c:pt idx="116">
                  <c:v>0.046333524393180725</c:v>
                </c:pt>
                <c:pt idx="117">
                  <c:v>0.04841249210223986</c:v>
                </c:pt>
                <c:pt idx="118">
                  <c:v>0.05050653617216649</c:v>
                </c:pt>
                <c:pt idx="119">
                  <c:v>0.05261342269794577</c:v>
                </c:pt>
                <c:pt idx="120">
                  <c:v>0.05473138716116453</c:v>
                </c:pt>
                <c:pt idx="121">
                  <c:v>0.0568588281487299</c:v>
                </c:pt>
                <c:pt idx="122">
                  <c:v>0.058994444809579376</c:v>
                </c:pt>
                <c:pt idx="123">
                  <c:v>0.06113707820842568</c:v>
                </c:pt>
                <c:pt idx="124">
                  <c:v>0.06328577059856663</c:v>
                </c:pt>
                <c:pt idx="125">
                  <c:v>0.0654396808465512</c:v>
                </c:pt>
                <c:pt idx="126">
                  <c:v>0.06759810738256551</c:v>
                </c:pt>
                <c:pt idx="127">
                  <c:v>0.06976044140444593</c:v>
                </c:pt>
                <c:pt idx="128">
                  <c:v>0.07192617347516085</c:v>
                </c:pt>
                <c:pt idx="129">
                  <c:v>0.07409486644481451</c:v>
                </c:pt>
                <c:pt idx="130">
                  <c:v>0.07626615511878428</c:v>
                </c:pt>
                <c:pt idx="131">
                  <c:v>0.07843972979569712</c:v>
                </c:pt>
                <c:pt idx="132">
                  <c:v>0.0806153333673989</c:v>
                </c:pt>
                <c:pt idx="133">
                  <c:v>0.08279275080372495</c:v>
                </c:pt>
                <c:pt idx="134">
                  <c:v>0.08497180563163999</c:v>
                </c:pt>
                <c:pt idx="135">
                  <c:v>0.08715235291205815</c:v>
                </c:pt>
                <c:pt idx="136">
                  <c:v>0.0893342759082664</c:v>
                </c:pt>
                <c:pt idx="137">
                  <c:v>0.09151748122114438</c:v>
                </c:pt>
                <c:pt idx="138">
                  <c:v>0.0937018959329896</c:v>
                </c:pt>
                <c:pt idx="139">
                  <c:v>0.09588746414562777</c:v>
                </c:pt>
                <c:pt idx="140">
                  <c:v>0.09807414465400488</c:v>
                </c:pt>
                <c:pt idx="141">
                  <c:v>0.10026190843774868</c:v>
                </c:pt>
                <c:pt idx="142">
                  <c:v>0.10245073682417252</c:v>
                </c:pt>
                <c:pt idx="143">
                  <c:v>0.10464061965192552</c:v>
                </c:pt>
                <c:pt idx="144">
                  <c:v>0.10683155385099875</c:v>
                </c:pt>
                <c:pt idx="145">
                  <c:v>0.10902354209334036</c:v>
                </c:pt>
                <c:pt idx="146">
                  <c:v>0.11121659171353321</c:v>
                </c:pt>
                <c:pt idx="147">
                  <c:v>0.11341071371856502</c:v>
                </c:pt>
                <c:pt idx="148">
                  <c:v>0.1156059219801687</c:v>
                </c:pt>
                <c:pt idx="149">
                  <c:v>0.11780223251255954</c:v>
                </c:pt>
                <c:pt idx="150">
                  <c:v>0.1199996628776185</c:v>
                </c:pt>
                <c:pt idx="151">
                  <c:v>0.12219823166395914</c:v>
                </c:pt>
                <c:pt idx="152">
                  <c:v>0.12470700882946859</c:v>
                </c:pt>
                <c:pt idx="153">
                  <c:v>0.12721642257616284</c:v>
                </c:pt>
                <c:pt idx="154">
                  <c:v>0.1298765198456863</c:v>
                </c:pt>
                <c:pt idx="155">
                  <c:v>0.13253976412301535</c:v>
                </c:pt>
                <c:pt idx="156">
                  <c:v>0.1352851439160581</c:v>
                </c:pt>
                <c:pt idx="157">
                  <c:v>0.13803743515341657</c:v>
                </c:pt>
                <c:pt idx="158">
                  <c:v>0.14083673301932986</c:v>
                </c:pt>
                <c:pt idx="159">
                  <c:v>0.14364390867630014</c:v>
                </c:pt>
                <c:pt idx="160">
                  <c:v>0.14647907005749283</c:v>
                </c:pt>
                <c:pt idx="161">
                  <c:v>0.1493215933989494</c:v>
                </c:pt>
                <c:pt idx="162">
                  <c:v>0.1521814469126403</c:v>
                </c:pt>
                <c:pt idx="163">
                  <c:v>0.15504760606398715</c:v>
                </c:pt>
                <c:pt idx="164">
                  <c:v>0.15792492575202075</c:v>
                </c:pt>
                <c:pt idx="165">
                  <c:v>0.16080741462045028</c:v>
                </c:pt>
                <c:pt idx="166">
                  <c:v>0.16369736992721584</c:v>
                </c:pt>
                <c:pt idx="167">
                  <c:v>0.166591473472525</c:v>
                </c:pt>
                <c:pt idx="168">
                  <c:v>0.16949076080341885</c:v>
                </c:pt>
                <c:pt idx="169">
                  <c:v>0.17239335609956666</c:v>
                </c:pt>
                <c:pt idx="170">
                  <c:v>0.17529968691821105</c:v>
                </c:pt>
                <c:pt idx="171">
                  <c:v>0.1782086707007143</c:v>
                </c:pt>
                <c:pt idx="172">
                  <c:v>0.181120453572339</c:v>
                </c:pt>
                <c:pt idx="173">
                  <c:v>0.1840343989967162</c:v>
                </c:pt>
                <c:pt idx="174">
                  <c:v>0.18695053203560108</c:v>
                </c:pt>
                <c:pt idx="175">
                  <c:v>0.1898684731223721</c:v>
                </c:pt>
                <c:pt idx="176">
                  <c:v>0.19278820273096983</c:v>
                </c:pt>
                <c:pt idx="177">
                  <c:v>0.19570949312015018</c:v>
                </c:pt>
                <c:pt idx="178">
                  <c:v>0.19863231478379317</c:v>
                </c:pt>
                <c:pt idx="179">
                  <c:v>0.2015565318561958</c:v>
                </c:pt>
                <c:pt idx="180">
                  <c:v>0.20448211897364266</c:v>
                </c:pt>
                <c:pt idx="181">
                  <c:v>0.20740899700360094</c:v>
                </c:pt>
                <c:pt idx="182">
                  <c:v>0.21033714916323948</c:v>
                </c:pt>
                <c:pt idx="183">
                  <c:v>0.21326653184176655</c:v>
                </c:pt>
                <c:pt idx="184">
                  <c:v>0.21619713697847798</c:v>
                </c:pt>
                <c:pt idx="185">
                  <c:v>0.21912894330661944</c:v>
                </c:pt>
                <c:pt idx="186">
                  <c:v>0.22206194995882692</c:v>
                </c:pt>
                <c:pt idx="187">
                  <c:v>0.22499614960695472</c:v>
                </c:pt>
                <c:pt idx="188">
                  <c:v>0.2279315466105104</c:v>
                </c:pt>
                <c:pt idx="189">
                  <c:v>0.2308681420990906</c:v>
                </c:pt>
                <c:pt idx="190">
                  <c:v>0.2338059437924332</c:v>
                </c:pt>
                <c:pt idx="191">
                  <c:v>0.23674495764534426</c:v>
                </c:pt>
                <c:pt idx="192">
                  <c:v>0.23968519316991121</c:v>
                </c:pt>
                <c:pt idx="193">
                  <c:v>0.24262665871577346</c:v>
                </c:pt>
                <c:pt idx="194">
                  <c:v>0.24556936435944343</c:v>
                </c:pt>
                <c:pt idx="195">
                  <c:v>0.24851331921639702</c:v>
                </c:pt>
                <c:pt idx="196">
                  <c:v>0.2514585330133086</c:v>
                </c:pt>
                <c:pt idx="197">
                  <c:v>0.2544050145469044</c:v>
                </c:pt>
                <c:pt idx="198">
                  <c:v>0.25735277254344585</c:v>
                </c:pt>
                <c:pt idx="199">
                  <c:v>0.2603018147713329</c:v>
                </c:pt>
                <c:pt idx="200">
                  <c:v>0.26325214851567075</c:v>
                </c:pt>
                <c:pt idx="201">
                  <c:v>0.26620378006733186</c:v>
                </c:pt>
                <c:pt idx="202">
                  <c:v>0.28150439710957115</c:v>
                </c:pt>
                <c:pt idx="203">
                  <c:v>0.2955088519907426</c:v>
                </c:pt>
                <c:pt idx="204">
                  <c:v>0.31573818182635593</c:v>
                </c:pt>
                <c:pt idx="205">
                  <c:v>0.3347897461610897</c:v>
                </c:pt>
                <c:pt idx="206">
                  <c:v>0.3571659369043298</c:v>
                </c:pt>
                <c:pt idx="207">
                  <c:v>0.3785869631108753</c:v>
                </c:pt>
                <c:pt idx="208">
                  <c:v>0.40169465416348604</c:v>
                </c:pt>
                <c:pt idx="209">
                  <c:v>0.42395258391034013</c:v>
                </c:pt>
                <c:pt idx="210">
                  <c:v>0.44691558397528597</c:v>
                </c:pt>
                <c:pt idx="211">
                  <c:v>0.4690492772334012</c:v>
                </c:pt>
                <c:pt idx="212">
                  <c:v>0.4912757064562243</c:v>
                </c:pt>
                <c:pt idx="213">
                  <c:v>0.5126464763375937</c:v>
                </c:pt>
                <c:pt idx="214">
                  <c:v>0.5337132844409044</c:v>
                </c:pt>
                <c:pt idx="215">
                  <c:v>0.5538764163640718</c:v>
                </c:pt>
                <c:pt idx="216">
                  <c:v>0.5734692192290229</c:v>
                </c:pt>
                <c:pt idx="217">
                  <c:v>0.5921034711644327</c:v>
                </c:pt>
                <c:pt idx="218">
                  <c:v>0.6099827370351234</c:v>
                </c:pt>
                <c:pt idx="219">
                  <c:v>0.6268497555214932</c:v>
                </c:pt>
                <c:pt idx="220">
                  <c:v>0.6470620771824115</c:v>
                </c:pt>
                <c:pt idx="221">
                  <c:v>0.6658465315448566</c:v>
                </c:pt>
                <c:pt idx="222">
                  <c:v>0.6865579833708695</c:v>
                </c:pt>
                <c:pt idx="223">
                  <c:v>0.7061350888516114</c:v>
                </c:pt>
                <c:pt idx="224">
                  <c:v>0.7269049774919769</c:v>
                </c:pt>
                <c:pt idx="225">
                  <c:v>0.7467931586616514</c:v>
                </c:pt>
                <c:pt idx="226">
                  <c:v>0.7674248768757324</c:v>
                </c:pt>
                <c:pt idx="227">
                  <c:v>0.7873520619868647</c:v>
                </c:pt>
                <c:pt idx="228">
                  <c:v>0.8077327772171001</c:v>
                </c:pt>
                <c:pt idx="229">
                  <c:v>0.8275334233262353</c:v>
                </c:pt>
                <c:pt idx="230">
                  <c:v>0.8475973720593115</c:v>
                </c:pt>
                <c:pt idx="231">
                  <c:v>0.8671637107041859</c:v>
                </c:pt>
                <c:pt idx="232">
                  <c:v>0.8868625523591575</c:v>
                </c:pt>
                <c:pt idx="233">
                  <c:v>0.9061187170631974</c:v>
                </c:pt>
                <c:pt idx="234">
                  <c:v>0.9254154239105384</c:v>
                </c:pt>
                <c:pt idx="235">
                  <c:v>0.9443059554614361</c:v>
                </c:pt>
                <c:pt idx="236">
                  <c:v>0.9631710717415393</c:v>
                </c:pt>
                <c:pt idx="237">
                  <c:v>0.9778867029850277</c:v>
                </c:pt>
                <c:pt idx="238">
                  <c:v>0.9936091032016825</c:v>
                </c:pt>
                <c:pt idx="239">
                  <c:v>1.006308552317099</c:v>
                </c:pt>
                <c:pt idx="240">
                  <c:v>1.0200621302218353</c:v>
                </c:pt>
                <c:pt idx="241">
                  <c:v>1.0313854487544474</c:v>
                </c:pt>
                <c:pt idx="242">
                  <c:v>1.0436951972093549</c:v>
                </c:pt>
                <c:pt idx="243">
                  <c:v>1.0539315805065372</c:v>
                </c:pt>
                <c:pt idx="244">
                  <c:v>1.0650818155781927</c:v>
                </c:pt>
                <c:pt idx="245">
                  <c:v>1.0743953173937282</c:v>
                </c:pt>
                <c:pt idx="246">
                  <c:v>1.0845626205663583</c:v>
                </c:pt>
                <c:pt idx="247">
                  <c:v>1.0930513111337226</c:v>
                </c:pt>
                <c:pt idx="248">
                  <c:v>1.1023553573229992</c:v>
                </c:pt>
                <c:pt idx="249">
                  <c:v>1.110084573858204</c:v>
                </c:pt>
                <c:pt idx="250">
                  <c:v>1.1186152816398531</c:v>
                </c:pt>
                <c:pt idx="251">
                  <c:v>1.125825291952109</c:v>
                </c:pt>
                <c:pt idx="252">
                  <c:v>1.1321004693349457</c:v>
                </c:pt>
                <c:pt idx="253">
                  <c:v>1.1373676447917185</c:v>
                </c:pt>
                <c:pt idx="254">
                  <c:v>1.1422884986655362</c:v>
                </c:pt>
                <c:pt idx="255">
                  <c:v>1.1465189918660295</c:v>
                </c:pt>
                <c:pt idx="256">
                  <c:v>1.1485733846034394</c:v>
                </c:pt>
                <c:pt idx="257">
                  <c:v>1.1538383862609578</c:v>
                </c:pt>
                <c:pt idx="258">
                  <c:v>1.1583103579269158</c:v>
                </c:pt>
                <c:pt idx="259">
                  <c:v>1.1604729359877388</c:v>
                </c:pt>
                <c:pt idx="260">
                  <c:v>1.1633633163517754</c:v>
                </c:pt>
                <c:pt idx="261">
                  <c:v>1.1670528405433178</c:v>
                </c:pt>
                <c:pt idx="262">
                  <c:v>1.169735937920957</c:v>
                </c:pt>
                <c:pt idx="263">
                  <c:v>1.1719849289216722</c:v>
                </c:pt>
                <c:pt idx="264">
                  <c:v>1.1747629191051754</c:v>
                </c:pt>
                <c:pt idx="265">
                  <c:v>1.1774355994307073</c:v>
                </c:pt>
                <c:pt idx="266">
                  <c:v>1.1796349865061109</c:v>
                </c:pt>
                <c:pt idx="267">
                  <c:v>1.1818974626294438</c:v>
                </c:pt>
                <c:pt idx="268">
                  <c:v>1.1842923884203482</c:v>
                </c:pt>
                <c:pt idx="269">
                  <c:v>1.1864718019762068</c:v>
                </c:pt>
                <c:pt idx="270">
                  <c:v>1.1885207443519037</c:v>
                </c:pt>
                <c:pt idx="271">
                  <c:v>1.190641633613101</c:v>
                </c:pt>
                <c:pt idx="272">
                  <c:v>1.192718493251553</c:v>
                </c:pt>
                <c:pt idx="273">
                  <c:v>1.1946682717140171</c:v>
                </c:pt>
                <c:pt idx="274">
                  <c:v>1.1966011076380259</c:v>
                </c:pt>
                <c:pt idx="275">
                  <c:v>1.1985371681933963</c:v>
                </c:pt>
                <c:pt idx="276">
                  <c:v>1.200401680418881</c:v>
                </c:pt>
                <c:pt idx="277">
                  <c:v>1.2022121423997234</c:v>
                </c:pt>
                <c:pt idx="278">
                  <c:v>1.2040148687932186</c:v>
                </c:pt>
                <c:pt idx="279">
                  <c:v>1.2057841769146995</c:v>
                </c:pt>
                <c:pt idx="280">
                  <c:v>1.2075012293879532</c:v>
                </c:pt>
                <c:pt idx="281">
                  <c:v>1.209192491411918</c:v>
                </c:pt>
                <c:pt idx="282">
                  <c:v>1.210862686599926</c:v>
                </c:pt>
                <c:pt idx="283">
                  <c:v>1.2124939150727982</c:v>
                </c:pt>
                <c:pt idx="284">
                  <c:v>1.214091419490119</c:v>
                </c:pt>
                <c:pt idx="285">
                  <c:v>1.2156668654876</c:v>
                </c:pt>
                <c:pt idx="286">
                  <c:v>1.2172134739423037</c:v>
                </c:pt>
                <c:pt idx="287">
                  <c:v>1.2187271099489188</c:v>
                </c:pt>
                <c:pt idx="288">
                  <c:v>1.220215265595257</c:v>
                </c:pt>
                <c:pt idx="289">
                  <c:v>1.2216789375211696</c:v>
                </c:pt>
                <c:pt idx="290">
                  <c:v>1.2231135398987627</c:v>
                </c:pt>
                <c:pt idx="291">
                  <c:v>1.224521230780616</c:v>
                </c:pt>
                <c:pt idx="292">
                  <c:v>1.2259053345511735</c:v>
                </c:pt>
                <c:pt idx="293">
                  <c:v>1.2272639014165856</c:v>
                </c:pt>
                <c:pt idx="294">
                  <c:v>1.2285962933600607</c:v>
                </c:pt>
                <c:pt idx="295">
                  <c:v>1.2299050733538308</c:v>
                </c:pt>
                <c:pt idx="296">
                  <c:v>1.2311905144305673</c:v>
                </c:pt>
                <c:pt idx="297">
                  <c:v>1.2324515337109752</c:v>
                </c:pt>
                <c:pt idx="298">
                  <c:v>1.233689267127947</c:v>
                </c:pt>
                <c:pt idx="299">
                  <c:v>1.2349048811432901</c:v>
                </c:pt>
                <c:pt idx="300">
                  <c:v>1.2360979029374777</c:v>
                </c:pt>
                <c:pt idx="301">
                  <c:v>1.2372685394107759</c:v>
                </c:pt>
                <c:pt idx="302">
                  <c:v>1.2384179016184762</c:v>
                </c:pt>
                <c:pt idx="303">
                  <c:v>1.2395461957686384</c:v>
                </c:pt>
                <c:pt idx="304">
                  <c:v>1.2406533508495718</c:v>
                </c:pt>
                <c:pt idx="305">
                  <c:v>1.2417400877901983</c:v>
                </c:pt>
                <c:pt idx="306">
                  <c:v>1.242806974050171</c:v>
                </c:pt>
                <c:pt idx="307">
                  <c:v>1.243854044354348</c:v>
                </c:pt>
                <c:pt idx="308">
                  <c:v>1.2448816843709984</c:v>
                </c:pt>
                <c:pt idx="309">
                  <c:v>1.2458905157284423</c:v>
                </c:pt>
                <c:pt idx="310">
                  <c:v>1.2468807761739182</c:v>
                </c:pt>
                <c:pt idx="311">
                  <c:v>1.2478526925491826</c:v>
                </c:pt>
                <c:pt idx="312">
                  <c:v>1.2488067825214602</c:v>
                </c:pt>
                <c:pt idx="313">
                  <c:v>1.2497434259002245</c:v>
                </c:pt>
                <c:pt idx="314">
                  <c:v>1.2506628324614477</c:v>
                </c:pt>
                <c:pt idx="315">
                  <c:v>1.2515653895708696</c:v>
                </c:pt>
                <c:pt idx="316">
                  <c:v>1.252451521130622</c:v>
                </c:pt>
                <c:pt idx="317">
                  <c:v>1.2533214827004662</c:v>
                </c:pt>
                <c:pt idx="318">
                  <c:v>1.254175570955249</c:v>
                </c:pt>
                <c:pt idx="319">
                  <c:v>1.2550141832313155</c:v>
                </c:pt>
                <c:pt idx="320">
                  <c:v>1.255837622086339</c:v>
                </c:pt>
                <c:pt idx="321">
                  <c:v>1.2566461438988263</c:v>
                </c:pt>
                <c:pt idx="322">
                  <c:v>1.2574400907010688</c:v>
                </c:pt>
                <c:pt idx="323">
                  <c:v>1.258219785242124</c:v>
                </c:pt>
                <c:pt idx="324">
                  <c:v>1.2589854773301654</c:v>
                </c:pt>
                <c:pt idx="325">
                  <c:v>1.2597374556730743</c:v>
                </c:pt>
                <c:pt idx="326">
                  <c:v>1.260476034501389</c:v>
                </c:pt>
                <c:pt idx="327">
                  <c:v>1.2612014691963536</c:v>
                </c:pt>
                <c:pt idx="328">
                  <c:v>1.2619140106387525</c:v>
                </c:pt>
                <c:pt idx="329">
                  <c:v>1.262613946383261</c:v>
                </c:pt>
                <c:pt idx="330">
                  <c:v>1.2633015344091059</c:v>
                </c:pt>
                <c:pt idx="331">
                  <c:v>1.2639770038158091</c:v>
                </c:pt>
                <c:pt idx="332">
                  <c:v>1.2646406096079104</c:v>
                </c:pt>
                <c:pt idx="333">
                  <c:v>1.2652926031453082</c:v>
                </c:pt>
                <c:pt idx="334">
                  <c:v>1.2659332021445988</c:v>
                </c:pt>
                <c:pt idx="335">
                  <c:v>1.2665626317823686</c:v>
                </c:pt>
                <c:pt idx="336">
                  <c:v>1.26718112797333</c:v>
                </c:pt>
                <c:pt idx="337">
                  <c:v>1.267788900926285</c:v>
                </c:pt>
                <c:pt idx="338">
                  <c:v>1.2683861524649152</c:v>
                </c:pt>
                <c:pt idx="339">
                  <c:v>1.268973097826537</c:v>
                </c:pt>
                <c:pt idx="340">
                  <c:v>1.269549938966187</c:v>
                </c:pt>
                <c:pt idx="341">
                  <c:v>1.270116860868726</c:v>
                </c:pt>
                <c:pt idx="342">
                  <c:v>1.2706740569009214</c:v>
                </c:pt>
                <c:pt idx="343">
                  <c:v>1.2712217179770606</c:v>
                </c:pt>
                <c:pt idx="344">
                  <c:v>1.2717600168670409</c:v>
                </c:pt>
                <c:pt idx="345">
                  <c:v>1.2722891268407703</c:v>
                </c:pt>
                <c:pt idx="346">
                  <c:v>1.2728092250064156</c:v>
                </c:pt>
                <c:pt idx="347">
                  <c:v>1.2733204742318218</c:v>
                </c:pt>
                <c:pt idx="348">
                  <c:v>1.2738230309186382</c:v>
                </c:pt>
                <c:pt idx="349">
                  <c:v>1.2743170567667756</c:v>
                </c:pt>
                <c:pt idx="350">
                  <c:v>1.274802705227151</c:v>
                </c:pt>
              </c:numCache>
            </c:numRef>
          </c:val>
          <c:smooth val="0"/>
        </c:ser>
        <c:ser>
          <c:idx val="3"/>
          <c:order val="3"/>
          <c:tx>
            <c:v>Assorbimento biosfera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339966"/>
                </a:solidFill>
              </a:ln>
            </c:spPr>
          </c:marker>
          <c:cat>
            <c:numRef>
              <c:f>modello!$F$4:$F$354</c:f>
              <c:numCache>
                <c:ptCount val="351"/>
                <c:pt idx="0">
                  <c:v>1750</c:v>
                </c:pt>
                <c:pt idx="1">
                  <c:v>1751</c:v>
                </c:pt>
                <c:pt idx="2">
                  <c:v>1752</c:v>
                </c:pt>
                <c:pt idx="3">
                  <c:v>1753</c:v>
                </c:pt>
                <c:pt idx="4">
                  <c:v>1754</c:v>
                </c:pt>
                <c:pt idx="5">
                  <c:v>1755</c:v>
                </c:pt>
                <c:pt idx="6">
                  <c:v>1756</c:v>
                </c:pt>
                <c:pt idx="7">
                  <c:v>1757</c:v>
                </c:pt>
                <c:pt idx="8">
                  <c:v>1758</c:v>
                </c:pt>
                <c:pt idx="9">
                  <c:v>1759</c:v>
                </c:pt>
                <c:pt idx="10">
                  <c:v>1760</c:v>
                </c:pt>
                <c:pt idx="11">
                  <c:v>1761</c:v>
                </c:pt>
                <c:pt idx="12">
                  <c:v>1762</c:v>
                </c:pt>
                <c:pt idx="13">
                  <c:v>1763</c:v>
                </c:pt>
                <c:pt idx="14">
                  <c:v>1764</c:v>
                </c:pt>
                <c:pt idx="15">
                  <c:v>1765</c:v>
                </c:pt>
                <c:pt idx="16">
                  <c:v>1766</c:v>
                </c:pt>
                <c:pt idx="17">
                  <c:v>1767</c:v>
                </c:pt>
                <c:pt idx="18">
                  <c:v>1768</c:v>
                </c:pt>
                <c:pt idx="19">
                  <c:v>1769</c:v>
                </c:pt>
                <c:pt idx="20">
                  <c:v>1770</c:v>
                </c:pt>
                <c:pt idx="21">
                  <c:v>1771</c:v>
                </c:pt>
                <c:pt idx="22">
                  <c:v>1772</c:v>
                </c:pt>
                <c:pt idx="23">
                  <c:v>1773</c:v>
                </c:pt>
                <c:pt idx="24">
                  <c:v>1774</c:v>
                </c:pt>
                <c:pt idx="25">
                  <c:v>1775</c:v>
                </c:pt>
                <c:pt idx="26">
                  <c:v>1776</c:v>
                </c:pt>
                <c:pt idx="27">
                  <c:v>1777</c:v>
                </c:pt>
                <c:pt idx="28">
                  <c:v>1778</c:v>
                </c:pt>
                <c:pt idx="29">
                  <c:v>1779</c:v>
                </c:pt>
                <c:pt idx="30">
                  <c:v>1780</c:v>
                </c:pt>
                <c:pt idx="31">
                  <c:v>1781</c:v>
                </c:pt>
                <c:pt idx="32">
                  <c:v>1782</c:v>
                </c:pt>
                <c:pt idx="33">
                  <c:v>1783</c:v>
                </c:pt>
                <c:pt idx="34">
                  <c:v>1784</c:v>
                </c:pt>
                <c:pt idx="35">
                  <c:v>1785</c:v>
                </c:pt>
                <c:pt idx="36">
                  <c:v>1786</c:v>
                </c:pt>
                <c:pt idx="37">
                  <c:v>1787</c:v>
                </c:pt>
                <c:pt idx="38">
                  <c:v>1788</c:v>
                </c:pt>
                <c:pt idx="39">
                  <c:v>1789</c:v>
                </c:pt>
                <c:pt idx="40">
                  <c:v>1790</c:v>
                </c:pt>
                <c:pt idx="41">
                  <c:v>1791</c:v>
                </c:pt>
                <c:pt idx="42">
                  <c:v>1792</c:v>
                </c:pt>
                <c:pt idx="43">
                  <c:v>1793</c:v>
                </c:pt>
                <c:pt idx="44">
                  <c:v>1794</c:v>
                </c:pt>
                <c:pt idx="45">
                  <c:v>1795</c:v>
                </c:pt>
                <c:pt idx="46">
                  <c:v>1796</c:v>
                </c:pt>
                <c:pt idx="47">
                  <c:v>1797</c:v>
                </c:pt>
                <c:pt idx="48">
                  <c:v>1798</c:v>
                </c:pt>
                <c:pt idx="49">
                  <c:v>1799</c:v>
                </c:pt>
                <c:pt idx="50">
                  <c:v>1800</c:v>
                </c:pt>
                <c:pt idx="51">
                  <c:v>1801</c:v>
                </c:pt>
                <c:pt idx="52">
                  <c:v>1802</c:v>
                </c:pt>
                <c:pt idx="53">
                  <c:v>1803</c:v>
                </c:pt>
                <c:pt idx="54">
                  <c:v>1804</c:v>
                </c:pt>
                <c:pt idx="55">
                  <c:v>1805</c:v>
                </c:pt>
                <c:pt idx="56">
                  <c:v>1806</c:v>
                </c:pt>
                <c:pt idx="57">
                  <c:v>1807</c:v>
                </c:pt>
                <c:pt idx="58">
                  <c:v>1808</c:v>
                </c:pt>
                <c:pt idx="59">
                  <c:v>1809</c:v>
                </c:pt>
                <c:pt idx="60">
                  <c:v>1810</c:v>
                </c:pt>
                <c:pt idx="61">
                  <c:v>1811</c:v>
                </c:pt>
                <c:pt idx="62">
                  <c:v>1812</c:v>
                </c:pt>
                <c:pt idx="63">
                  <c:v>1813</c:v>
                </c:pt>
                <c:pt idx="64">
                  <c:v>1814</c:v>
                </c:pt>
                <c:pt idx="65">
                  <c:v>1815</c:v>
                </c:pt>
                <c:pt idx="66">
                  <c:v>1816</c:v>
                </c:pt>
                <c:pt idx="67">
                  <c:v>1817</c:v>
                </c:pt>
                <c:pt idx="68">
                  <c:v>1818</c:v>
                </c:pt>
                <c:pt idx="69">
                  <c:v>1819</c:v>
                </c:pt>
                <c:pt idx="70">
                  <c:v>1820</c:v>
                </c:pt>
                <c:pt idx="71">
                  <c:v>1821</c:v>
                </c:pt>
                <c:pt idx="72">
                  <c:v>1822</c:v>
                </c:pt>
                <c:pt idx="73">
                  <c:v>1823</c:v>
                </c:pt>
                <c:pt idx="74">
                  <c:v>1824</c:v>
                </c:pt>
                <c:pt idx="75">
                  <c:v>1825</c:v>
                </c:pt>
                <c:pt idx="76">
                  <c:v>1826</c:v>
                </c:pt>
                <c:pt idx="77">
                  <c:v>1827</c:v>
                </c:pt>
                <c:pt idx="78">
                  <c:v>1828</c:v>
                </c:pt>
                <c:pt idx="79">
                  <c:v>1829</c:v>
                </c:pt>
                <c:pt idx="80">
                  <c:v>1830</c:v>
                </c:pt>
                <c:pt idx="81">
                  <c:v>1831</c:v>
                </c:pt>
                <c:pt idx="82">
                  <c:v>1832</c:v>
                </c:pt>
                <c:pt idx="83">
                  <c:v>1833</c:v>
                </c:pt>
                <c:pt idx="84">
                  <c:v>1834</c:v>
                </c:pt>
                <c:pt idx="85">
                  <c:v>1835</c:v>
                </c:pt>
                <c:pt idx="86">
                  <c:v>1836</c:v>
                </c:pt>
                <c:pt idx="87">
                  <c:v>1837</c:v>
                </c:pt>
                <c:pt idx="88">
                  <c:v>1838</c:v>
                </c:pt>
                <c:pt idx="89">
                  <c:v>1839</c:v>
                </c:pt>
                <c:pt idx="90">
                  <c:v>1840</c:v>
                </c:pt>
                <c:pt idx="91">
                  <c:v>1841</c:v>
                </c:pt>
                <c:pt idx="92">
                  <c:v>1842</c:v>
                </c:pt>
                <c:pt idx="93">
                  <c:v>1843</c:v>
                </c:pt>
                <c:pt idx="94">
                  <c:v>1844</c:v>
                </c:pt>
                <c:pt idx="95">
                  <c:v>1845</c:v>
                </c:pt>
                <c:pt idx="96">
                  <c:v>1846</c:v>
                </c:pt>
                <c:pt idx="97">
                  <c:v>1847</c:v>
                </c:pt>
                <c:pt idx="98">
                  <c:v>1848</c:v>
                </c:pt>
                <c:pt idx="99">
                  <c:v>1849</c:v>
                </c:pt>
                <c:pt idx="100">
                  <c:v>1850</c:v>
                </c:pt>
                <c:pt idx="101">
                  <c:v>1851</c:v>
                </c:pt>
                <c:pt idx="102">
                  <c:v>1852</c:v>
                </c:pt>
                <c:pt idx="103">
                  <c:v>1853</c:v>
                </c:pt>
                <c:pt idx="104">
                  <c:v>1854</c:v>
                </c:pt>
                <c:pt idx="105">
                  <c:v>1855</c:v>
                </c:pt>
                <c:pt idx="106">
                  <c:v>1856</c:v>
                </c:pt>
                <c:pt idx="107">
                  <c:v>1857</c:v>
                </c:pt>
                <c:pt idx="108">
                  <c:v>1858</c:v>
                </c:pt>
                <c:pt idx="109">
                  <c:v>1859</c:v>
                </c:pt>
                <c:pt idx="110">
                  <c:v>1860</c:v>
                </c:pt>
                <c:pt idx="111">
                  <c:v>1861</c:v>
                </c:pt>
                <c:pt idx="112">
                  <c:v>1862</c:v>
                </c:pt>
                <c:pt idx="113">
                  <c:v>1863</c:v>
                </c:pt>
                <c:pt idx="114">
                  <c:v>1864</c:v>
                </c:pt>
                <c:pt idx="115">
                  <c:v>1865</c:v>
                </c:pt>
                <c:pt idx="116">
                  <c:v>1866</c:v>
                </c:pt>
                <c:pt idx="117">
                  <c:v>1867</c:v>
                </c:pt>
                <c:pt idx="118">
                  <c:v>1868</c:v>
                </c:pt>
                <c:pt idx="119">
                  <c:v>1869</c:v>
                </c:pt>
                <c:pt idx="120">
                  <c:v>1870</c:v>
                </c:pt>
                <c:pt idx="121">
                  <c:v>1871</c:v>
                </c:pt>
                <c:pt idx="122">
                  <c:v>1872</c:v>
                </c:pt>
                <c:pt idx="123">
                  <c:v>1873</c:v>
                </c:pt>
                <c:pt idx="124">
                  <c:v>1874</c:v>
                </c:pt>
                <c:pt idx="125">
                  <c:v>1875</c:v>
                </c:pt>
                <c:pt idx="126">
                  <c:v>1876</c:v>
                </c:pt>
                <c:pt idx="127">
                  <c:v>1877</c:v>
                </c:pt>
                <c:pt idx="128">
                  <c:v>1878</c:v>
                </c:pt>
                <c:pt idx="129">
                  <c:v>1879</c:v>
                </c:pt>
                <c:pt idx="130">
                  <c:v>1880</c:v>
                </c:pt>
                <c:pt idx="131">
                  <c:v>1881</c:v>
                </c:pt>
                <c:pt idx="132">
                  <c:v>1882</c:v>
                </c:pt>
                <c:pt idx="133">
                  <c:v>1883</c:v>
                </c:pt>
                <c:pt idx="134">
                  <c:v>1884</c:v>
                </c:pt>
                <c:pt idx="135">
                  <c:v>1885</c:v>
                </c:pt>
                <c:pt idx="136">
                  <c:v>1886</c:v>
                </c:pt>
                <c:pt idx="137">
                  <c:v>1887</c:v>
                </c:pt>
                <c:pt idx="138">
                  <c:v>1888</c:v>
                </c:pt>
                <c:pt idx="139">
                  <c:v>1889</c:v>
                </c:pt>
                <c:pt idx="140">
                  <c:v>1890</c:v>
                </c:pt>
                <c:pt idx="141">
                  <c:v>1891</c:v>
                </c:pt>
                <c:pt idx="142">
                  <c:v>1892</c:v>
                </c:pt>
                <c:pt idx="143">
                  <c:v>1893</c:v>
                </c:pt>
                <c:pt idx="144">
                  <c:v>1894</c:v>
                </c:pt>
                <c:pt idx="145">
                  <c:v>1895</c:v>
                </c:pt>
                <c:pt idx="146">
                  <c:v>1896</c:v>
                </c:pt>
                <c:pt idx="147">
                  <c:v>1897</c:v>
                </c:pt>
                <c:pt idx="148">
                  <c:v>1898</c:v>
                </c:pt>
                <c:pt idx="149">
                  <c:v>1899</c:v>
                </c:pt>
                <c:pt idx="150">
                  <c:v>1900</c:v>
                </c:pt>
                <c:pt idx="151">
                  <c:v>1901</c:v>
                </c:pt>
                <c:pt idx="152">
                  <c:v>1902</c:v>
                </c:pt>
                <c:pt idx="153">
                  <c:v>1903</c:v>
                </c:pt>
                <c:pt idx="154">
                  <c:v>1904</c:v>
                </c:pt>
                <c:pt idx="155">
                  <c:v>1905</c:v>
                </c:pt>
                <c:pt idx="156">
                  <c:v>1906</c:v>
                </c:pt>
                <c:pt idx="157">
                  <c:v>1907</c:v>
                </c:pt>
                <c:pt idx="158">
                  <c:v>1908</c:v>
                </c:pt>
                <c:pt idx="159">
                  <c:v>1909</c:v>
                </c:pt>
                <c:pt idx="160">
                  <c:v>1910</c:v>
                </c:pt>
                <c:pt idx="161">
                  <c:v>1911</c:v>
                </c:pt>
                <c:pt idx="162">
                  <c:v>1912</c:v>
                </c:pt>
                <c:pt idx="163">
                  <c:v>1913</c:v>
                </c:pt>
                <c:pt idx="164">
                  <c:v>1914</c:v>
                </c:pt>
                <c:pt idx="165">
                  <c:v>1915</c:v>
                </c:pt>
                <c:pt idx="166">
                  <c:v>1916</c:v>
                </c:pt>
                <c:pt idx="167">
                  <c:v>1917</c:v>
                </c:pt>
                <c:pt idx="168">
                  <c:v>1918</c:v>
                </c:pt>
                <c:pt idx="169">
                  <c:v>1919</c:v>
                </c:pt>
                <c:pt idx="170">
                  <c:v>1920</c:v>
                </c:pt>
                <c:pt idx="171">
                  <c:v>1921</c:v>
                </c:pt>
                <c:pt idx="172">
                  <c:v>1922</c:v>
                </c:pt>
                <c:pt idx="173">
                  <c:v>1923</c:v>
                </c:pt>
                <c:pt idx="174">
                  <c:v>1924</c:v>
                </c:pt>
                <c:pt idx="175">
                  <c:v>1925</c:v>
                </c:pt>
                <c:pt idx="176">
                  <c:v>1926</c:v>
                </c:pt>
                <c:pt idx="177">
                  <c:v>1927</c:v>
                </c:pt>
                <c:pt idx="178">
                  <c:v>1928</c:v>
                </c:pt>
                <c:pt idx="179">
                  <c:v>1929</c:v>
                </c:pt>
                <c:pt idx="180">
                  <c:v>1930</c:v>
                </c:pt>
                <c:pt idx="181">
                  <c:v>1931</c:v>
                </c:pt>
                <c:pt idx="182">
                  <c:v>1932</c:v>
                </c:pt>
                <c:pt idx="183">
                  <c:v>1933</c:v>
                </c:pt>
                <c:pt idx="184">
                  <c:v>1934</c:v>
                </c:pt>
                <c:pt idx="185">
                  <c:v>1935</c:v>
                </c:pt>
                <c:pt idx="186">
                  <c:v>1936</c:v>
                </c:pt>
                <c:pt idx="187">
                  <c:v>1937</c:v>
                </c:pt>
                <c:pt idx="188">
                  <c:v>1938</c:v>
                </c:pt>
                <c:pt idx="189">
                  <c:v>1939</c:v>
                </c:pt>
                <c:pt idx="190">
                  <c:v>1940</c:v>
                </c:pt>
                <c:pt idx="191">
                  <c:v>1941</c:v>
                </c:pt>
                <c:pt idx="192">
                  <c:v>1942</c:v>
                </c:pt>
                <c:pt idx="193">
                  <c:v>1943</c:v>
                </c:pt>
                <c:pt idx="194">
                  <c:v>1944</c:v>
                </c:pt>
                <c:pt idx="195">
                  <c:v>1945</c:v>
                </c:pt>
                <c:pt idx="196">
                  <c:v>1946</c:v>
                </c:pt>
                <c:pt idx="197">
                  <c:v>1947</c:v>
                </c:pt>
                <c:pt idx="198">
                  <c:v>1948</c:v>
                </c:pt>
                <c:pt idx="199">
                  <c:v>1949</c:v>
                </c:pt>
                <c:pt idx="200">
                  <c:v>1950</c:v>
                </c:pt>
                <c:pt idx="201">
                  <c:v>1951</c:v>
                </c:pt>
                <c:pt idx="202">
                  <c:v>1952</c:v>
                </c:pt>
                <c:pt idx="203">
                  <c:v>1953</c:v>
                </c:pt>
                <c:pt idx="204">
                  <c:v>1954</c:v>
                </c:pt>
                <c:pt idx="205">
                  <c:v>1955</c:v>
                </c:pt>
                <c:pt idx="206">
                  <c:v>1956</c:v>
                </c:pt>
                <c:pt idx="207">
                  <c:v>1957</c:v>
                </c:pt>
                <c:pt idx="208">
                  <c:v>1958</c:v>
                </c:pt>
                <c:pt idx="209">
                  <c:v>1959</c:v>
                </c:pt>
                <c:pt idx="210">
                  <c:v>1960</c:v>
                </c:pt>
                <c:pt idx="211">
                  <c:v>1961</c:v>
                </c:pt>
                <c:pt idx="212">
                  <c:v>1962</c:v>
                </c:pt>
                <c:pt idx="213">
                  <c:v>1963</c:v>
                </c:pt>
                <c:pt idx="214">
                  <c:v>1964</c:v>
                </c:pt>
                <c:pt idx="215">
                  <c:v>1965</c:v>
                </c:pt>
                <c:pt idx="216">
                  <c:v>1966</c:v>
                </c:pt>
                <c:pt idx="217">
                  <c:v>1967</c:v>
                </c:pt>
                <c:pt idx="218">
                  <c:v>1968</c:v>
                </c:pt>
                <c:pt idx="219">
                  <c:v>1969</c:v>
                </c:pt>
                <c:pt idx="220">
                  <c:v>1970</c:v>
                </c:pt>
                <c:pt idx="221">
                  <c:v>1971</c:v>
                </c:pt>
                <c:pt idx="222">
                  <c:v>1972</c:v>
                </c:pt>
                <c:pt idx="223">
                  <c:v>1973</c:v>
                </c:pt>
                <c:pt idx="224">
                  <c:v>1974</c:v>
                </c:pt>
                <c:pt idx="225">
                  <c:v>1975</c:v>
                </c:pt>
                <c:pt idx="226">
                  <c:v>1976</c:v>
                </c:pt>
                <c:pt idx="227">
                  <c:v>1977</c:v>
                </c:pt>
                <c:pt idx="228">
                  <c:v>1978</c:v>
                </c:pt>
                <c:pt idx="229">
                  <c:v>1979</c:v>
                </c:pt>
                <c:pt idx="230">
                  <c:v>1980</c:v>
                </c:pt>
                <c:pt idx="231">
                  <c:v>1981</c:v>
                </c:pt>
                <c:pt idx="232">
                  <c:v>1982</c:v>
                </c:pt>
                <c:pt idx="233">
                  <c:v>1983</c:v>
                </c:pt>
                <c:pt idx="234">
                  <c:v>1984</c:v>
                </c:pt>
                <c:pt idx="235">
                  <c:v>1985</c:v>
                </c:pt>
                <c:pt idx="236">
                  <c:v>1986</c:v>
                </c:pt>
                <c:pt idx="237">
                  <c:v>1987</c:v>
                </c:pt>
                <c:pt idx="238">
                  <c:v>1988</c:v>
                </c:pt>
                <c:pt idx="239">
                  <c:v>1989</c:v>
                </c:pt>
                <c:pt idx="240">
                  <c:v>1990</c:v>
                </c:pt>
                <c:pt idx="241">
                  <c:v>1991</c:v>
                </c:pt>
                <c:pt idx="242">
                  <c:v>1992</c:v>
                </c:pt>
                <c:pt idx="243">
                  <c:v>1993</c:v>
                </c:pt>
                <c:pt idx="244">
                  <c:v>1994</c:v>
                </c:pt>
                <c:pt idx="245">
                  <c:v>1995</c:v>
                </c:pt>
                <c:pt idx="246">
                  <c:v>1996</c:v>
                </c:pt>
                <c:pt idx="247">
                  <c:v>1997</c:v>
                </c:pt>
                <c:pt idx="248">
                  <c:v>1998</c:v>
                </c:pt>
                <c:pt idx="249">
                  <c:v>1999</c:v>
                </c:pt>
                <c:pt idx="250">
                  <c:v>2000</c:v>
                </c:pt>
                <c:pt idx="251">
                  <c:v>2001</c:v>
                </c:pt>
                <c:pt idx="252">
                  <c:v>2002</c:v>
                </c:pt>
                <c:pt idx="253">
                  <c:v>2003</c:v>
                </c:pt>
                <c:pt idx="254">
                  <c:v>2004</c:v>
                </c:pt>
                <c:pt idx="255">
                  <c:v>2005</c:v>
                </c:pt>
                <c:pt idx="256">
                  <c:v>2006</c:v>
                </c:pt>
                <c:pt idx="257">
                  <c:v>2007</c:v>
                </c:pt>
                <c:pt idx="258">
                  <c:v>2008</c:v>
                </c:pt>
                <c:pt idx="259">
                  <c:v>2009</c:v>
                </c:pt>
                <c:pt idx="260">
                  <c:v>2010</c:v>
                </c:pt>
                <c:pt idx="261">
                  <c:v>2011</c:v>
                </c:pt>
                <c:pt idx="262">
                  <c:v>2012</c:v>
                </c:pt>
                <c:pt idx="263">
                  <c:v>2013</c:v>
                </c:pt>
                <c:pt idx="264">
                  <c:v>2014</c:v>
                </c:pt>
                <c:pt idx="265">
                  <c:v>2015</c:v>
                </c:pt>
                <c:pt idx="266">
                  <c:v>2016</c:v>
                </c:pt>
                <c:pt idx="267">
                  <c:v>2017</c:v>
                </c:pt>
                <c:pt idx="268">
                  <c:v>2018</c:v>
                </c:pt>
                <c:pt idx="269">
                  <c:v>2019</c:v>
                </c:pt>
                <c:pt idx="270">
                  <c:v>2020</c:v>
                </c:pt>
                <c:pt idx="271">
                  <c:v>2021</c:v>
                </c:pt>
                <c:pt idx="272">
                  <c:v>2022</c:v>
                </c:pt>
                <c:pt idx="273">
                  <c:v>2023</c:v>
                </c:pt>
                <c:pt idx="274">
                  <c:v>2024</c:v>
                </c:pt>
                <c:pt idx="275">
                  <c:v>2025</c:v>
                </c:pt>
                <c:pt idx="276">
                  <c:v>2026</c:v>
                </c:pt>
                <c:pt idx="277">
                  <c:v>2027</c:v>
                </c:pt>
                <c:pt idx="278">
                  <c:v>2028</c:v>
                </c:pt>
                <c:pt idx="279">
                  <c:v>2029</c:v>
                </c:pt>
                <c:pt idx="280">
                  <c:v>2030</c:v>
                </c:pt>
                <c:pt idx="281">
                  <c:v>2031</c:v>
                </c:pt>
                <c:pt idx="282">
                  <c:v>2032</c:v>
                </c:pt>
                <c:pt idx="283">
                  <c:v>2033</c:v>
                </c:pt>
                <c:pt idx="284">
                  <c:v>2034</c:v>
                </c:pt>
                <c:pt idx="285">
                  <c:v>2035</c:v>
                </c:pt>
                <c:pt idx="286">
                  <c:v>2036</c:v>
                </c:pt>
                <c:pt idx="287">
                  <c:v>2037</c:v>
                </c:pt>
                <c:pt idx="288">
                  <c:v>2038</c:v>
                </c:pt>
                <c:pt idx="289">
                  <c:v>2039</c:v>
                </c:pt>
                <c:pt idx="290">
                  <c:v>2040</c:v>
                </c:pt>
                <c:pt idx="291">
                  <c:v>2041</c:v>
                </c:pt>
                <c:pt idx="292">
                  <c:v>2042</c:v>
                </c:pt>
                <c:pt idx="293">
                  <c:v>2043</c:v>
                </c:pt>
                <c:pt idx="294">
                  <c:v>2044</c:v>
                </c:pt>
                <c:pt idx="295">
                  <c:v>2045</c:v>
                </c:pt>
                <c:pt idx="296">
                  <c:v>2046</c:v>
                </c:pt>
                <c:pt idx="297">
                  <c:v>2047</c:v>
                </c:pt>
                <c:pt idx="298">
                  <c:v>2048</c:v>
                </c:pt>
                <c:pt idx="299">
                  <c:v>2049</c:v>
                </c:pt>
                <c:pt idx="300">
                  <c:v>2050</c:v>
                </c:pt>
                <c:pt idx="301">
                  <c:v>2051</c:v>
                </c:pt>
                <c:pt idx="302">
                  <c:v>2052</c:v>
                </c:pt>
                <c:pt idx="303">
                  <c:v>2053</c:v>
                </c:pt>
                <c:pt idx="304">
                  <c:v>2054</c:v>
                </c:pt>
                <c:pt idx="305">
                  <c:v>2055</c:v>
                </c:pt>
                <c:pt idx="306">
                  <c:v>2056</c:v>
                </c:pt>
                <c:pt idx="307">
                  <c:v>2057</c:v>
                </c:pt>
                <c:pt idx="308">
                  <c:v>2058</c:v>
                </c:pt>
                <c:pt idx="309">
                  <c:v>2059</c:v>
                </c:pt>
                <c:pt idx="310">
                  <c:v>2060</c:v>
                </c:pt>
                <c:pt idx="311">
                  <c:v>2061</c:v>
                </c:pt>
                <c:pt idx="312">
                  <c:v>2062</c:v>
                </c:pt>
                <c:pt idx="313">
                  <c:v>2063</c:v>
                </c:pt>
                <c:pt idx="314">
                  <c:v>2064</c:v>
                </c:pt>
                <c:pt idx="315">
                  <c:v>2065</c:v>
                </c:pt>
                <c:pt idx="316">
                  <c:v>2066</c:v>
                </c:pt>
                <c:pt idx="317">
                  <c:v>2067</c:v>
                </c:pt>
                <c:pt idx="318">
                  <c:v>2068</c:v>
                </c:pt>
                <c:pt idx="319">
                  <c:v>2069</c:v>
                </c:pt>
                <c:pt idx="320">
                  <c:v>2070</c:v>
                </c:pt>
                <c:pt idx="321">
                  <c:v>2071</c:v>
                </c:pt>
                <c:pt idx="322">
                  <c:v>2072</c:v>
                </c:pt>
                <c:pt idx="323">
                  <c:v>2073</c:v>
                </c:pt>
                <c:pt idx="324">
                  <c:v>2074</c:v>
                </c:pt>
                <c:pt idx="325">
                  <c:v>2075</c:v>
                </c:pt>
                <c:pt idx="326">
                  <c:v>2076</c:v>
                </c:pt>
                <c:pt idx="327">
                  <c:v>2077</c:v>
                </c:pt>
                <c:pt idx="328">
                  <c:v>2078</c:v>
                </c:pt>
                <c:pt idx="329">
                  <c:v>2079</c:v>
                </c:pt>
                <c:pt idx="330">
                  <c:v>2080</c:v>
                </c:pt>
                <c:pt idx="331">
                  <c:v>2081</c:v>
                </c:pt>
                <c:pt idx="332">
                  <c:v>2082</c:v>
                </c:pt>
                <c:pt idx="333">
                  <c:v>2083</c:v>
                </c:pt>
                <c:pt idx="334">
                  <c:v>2084</c:v>
                </c:pt>
                <c:pt idx="335">
                  <c:v>2085</c:v>
                </c:pt>
                <c:pt idx="336">
                  <c:v>2086</c:v>
                </c:pt>
                <c:pt idx="337">
                  <c:v>2087</c:v>
                </c:pt>
                <c:pt idx="338">
                  <c:v>2088</c:v>
                </c:pt>
                <c:pt idx="339">
                  <c:v>2089</c:v>
                </c:pt>
                <c:pt idx="340">
                  <c:v>2090</c:v>
                </c:pt>
                <c:pt idx="341">
                  <c:v>2091</c:v>
                </c:pt>
                <c:pt idx="342">
                  <c:v>2092</c:v>
                </c:pt>
                <c:pt idx="343">
                  <c:v>2093</c:v>
                </c:pt>
                <c:pt idx="344">
                  <c:v>2094</c:v>
                </c:pt>
                <c:pt idx="345">
                  <c:v>2095</c:v>
                </c:pt>
                <c:pt idx="346">
                  <c:v>2096</c:v>
                </c:pt>
                <c:pt idx="347">
                  <c:v>2097</c:v>
                </c:pt>
                <c:pt idx="348">
                  <c:v>2098</c:v>
                </c:pt>
                <c:pt idx="349">
                  <c:v>2099</c:v>
                </c:pt>
                <c:pt idx="350">
                  <c:v>2100</c:v>
                </c:pt>
              </c:numCache>
            </c:numRef>
          </c:cat>
          <c:val>
            <c:numRef>
              <c:f>modello!$I$4:$I$354</c:f>
              <c:numCache>
                <c:ptCount val="351"/>
                <c:pt idx="0">
                  <c:v>0</c:v>
                </c:pt>
                <c:pt idx="1">
                  <c:v>0</c:v>
                </c:pt>
                <c:pt idx="2">
                  <c:v>2.3174805348576576E-05</c:v>
                </c:pt>
                <c:pt idx="3">
                  <c:v>6.499434299256884E-05</c:v>
                </c:pt>
                <c:pt idx="4">
                  <c:v>8.463570508503377E-05</c:v>
                </c:pt>
                <c:pt idx="5">
                  <c:v>9.02011279151056E-05</c:v>
                </c:pt>
                <c:pt idx="6">
                  <c:v>6.858189729538498E-05</c:v>
                </c:pt>
                <c:pt idx="7">
                  <c:v>2.8644522374185146E-05</c:v>
                </c:pt>
                <c:pt idx="8">
                  <c:v>-3.159029905225994E-05</c:v>
                </c:pt>
                <c:pt idx="9">
                  <c:v>-0.00010439276190513202</c:v>
                </c:pt>
                <c:pt idx="10">
                  <c:v>-0.00018778317460077512</c:v>
                </c:pt>
                <c:pt idx="11">
                  <c:v>-0.00027573965654687426</c:v>
                </c:pt>
                <c:pt idx="12">
                  <c:v>-0.00036543908783488434</c:v>
                </c:pt>
                <c:pt idx="13">
                  <c:v>-0.00045255419789072435</c:v>
                </c:pt>
                <c:pt idx="14">
                  <c:v>-0.0005346126143135863</c:v>
                </c:pt>
                <c:pt idx="15">
                  <c:v>-0.0006087141223217145</c:v>
                </c:pt>
                <c:pt idx="16">
                  <c:v>-0.0006730689457928223</c:v>
                </c:pt>
                <c:pt idx="17">
                  <c:v>-0.0007258755843729631</c:v>
                </c:pt>
                <c:pt idx="18">
                  <c:v>-0.0007660127156096657</c:v>
                </c:pt>
                <c:pt idx="19">
                  <c:v>-0.0007924790269584305</c:v>
                </c:pt>
                <c:pt idx="20">
                  <c:v>-0.000804696079201173</c:v>
                </c:pt>
                <c:pt idx="21">
                  <c:v>-0.000802223362268278</c:v>
                </c:pt>
                <c:pt idx="22">
                  <c:v>-0.0007848850281742976</c:v>
                </c:pt>
                <c:pt idx="23">
                  <c:v>-0.0007526215669730818</c:v>
                </c:pt>
                <c:pt idx="24">
                  <c:v>-0.000705538562664654</c:v>
                </c:pt>
                <c:pt idx="25">
                  <c:v>-0.0006438273337007103</c:v>
                </c:pt>
                <c:pt idx="26">
                  <c:v>-0.0005677803920999248</c:v>
                </c:pt>
                <c:pt idx="27">
                  <c:v>-0.00047774763897044485</c:v>
                </c:pt>
                <c:pt idx="28">
                  <c:v>-0.0003741385029627779</c:v>
                </c:pt>
                <c:pt idx="29">
                  <c:v>-0.00025739695622612905</c:v>
                </c:pt>
                <c:pt idx="30">
                  <c:v>-0.00012799901729387638</c:v>
                </c:pt>
                <c:pt idx="31">
                  <c:v>1.356194655301949E-05</c:v>
                </c:pt>
                <c:pt idx="32">
                  <c:v>0.00016677875233042945</c:v>
                </c:pt>
                <c:pt idx="33">
                  <c:v>0.00033113926517387905</c:v>
                </c:pt>
                <c:pt idx="34">
                  <c:v>0.0005061296087675801</c:v>
                </c:pt>
                <c:pt idx="35">
                  <c:v>0.0006912395861615629</c:v>
                </c:pt>
                <c:pt idx="36">
                  <c:v>0.000885965162322406</c:v>
                </c:pt>
                <c:pt idx="37">
                  <c:v>0.0010898117712910375</c:v>
                </c:pt>
                <c:pt idx="38">
                  <c:v>0.0013022960459224437</c:v>
                </c:pt>
                <c:pt idx="39">
                  <c:v>0.0015229477808903623</c:v>
                </c:pt>
                <c:pt idx="40">
                  <c:v>0.0017513110168967244</c:v>
                </c:pt>
                <c:pt idx="41">
                  <c:v>0.001986945124697856</c:v>
                </c:pt>
                <c:pt idx="42">
                  <c:v>0.00222942538061654</c:v>
                </c:pt>
                <c:pt idx="43">
                  <c:v>0.0024783434651703237</c:v>
                </c:pt>
                <c:pt idx="44">
                  <c:v>0.002733307657414793</c:v>
                </c:pt>
                <c:pt idx="45">
                  <c:v>0.002993942940855344</c:v>
                </c:pt>
                <c:pt idx="46">
                  <c:v>0.0032598909229828487</c:v>
                </c:pt>
                <c:pt idx="47">
                  <c:v>0.003530809679081942</c:v>
                </c:pt>
                <c:pt idx="48">
                  <c:v>0.0038063734810632284</c:v>
                </c:pt>
                <c:pt idx="49">
                  <c:v>0.004086272469907726</c:v>
                </c:pt>
                <c:pt idx="50">
                  <c:v>0.004370212258298441</c:v>
                </c:pt>
                <c:pt idx="51">
                  <c:v>0.004657913495704541</c:v>
                </c:pt>
                <c:pt idx="52">
                  <c:v>0.004954899622833125</c:v>
                </c:pt>
                <c:pt idx="53">
                  <c:v>0.005259787396419569</c:v>
                </c:pt>
                <c:pt idx="54">
                  <c:v>0.005571830354470253</c:v>
                </c:pt>
                <c:pt idx="55">
                  <c:v>0.0058899800835015255</c:v>
                </c:pt>
                <c:pt idx="56">
                  <c:v>0.006213592579913157</c:v>
                </c:pt>
                <c:pt idx="57">
                  <c:v>0.0065419498656144985</c:v>
                </c:pt>
                <c:pt idx="58">
                  <c:v>0.006874571969118923</c:v>
                </c:pt>
                <c:pt idx="59">
                  <c:v>0.007210974134116456</c:v>
                </c:pt>
                <c:pt idx="60">
                  <c:v>0.007550805134645805</c:v>
                </c:pt>
                <c:pt idx="61">
                  <c:v>0.00789372569205333</c:v>
                </c:pt>
                <c:pt idx="62">
                  <c:v>0.008239470383164292</c:v>
                </c:pt>
                <c:pt idx="63">
                  <c:v>0.008587787457504987</c:v>
                </c:pt>
                <c:pt idx="64">
                  <c:v>0.008938466798518186</c:v>
                </c:pt>
                <c:pt idx="65">
                  <c:v>0.009291310351273379</c:v>
                </c:pt>
                <c:pt idx="66">
                  <c:v>0.00964614480228672</c:v>
                </c:pt>
                <c:pt idx="67">
                  <c:v>0.01000280706703491</c:v>
                </c:pt>
                <c:pt idx="68">
                  <c:v>0.010361149997131428</c:v>
                </c:pt>
                <c:pt idx="69">
                  <c:v>0.010721035202951467</c:v>
                </c:pt>
                <c:pt idx="70">
                  <c:v>0.011082335542265427</c:v>
                </c:pt>
                <c:pt idx="71">
                  <c:v>0.011444931492820914</c:v>
                </c:pt>
                <c:pt idx="72">
                  <c:v>0.011808712145267956</c:v>
                </c:pt>
                <c:pt idx="73">
                  <c:v>0.012173573291217666</c:v>
                </c:pt>
                <c:pt idx="74">
                  <c:v>0.012539417722806367</c:v>
                </c:pt>
                <c:pt idx="75">
                  <c:v>0.01290615415458984</c:v>
                </c:pt>
                <c:pt idx="76">
                  <c:v>0.013273697207978547</c:v>
                </c:pt>
                <c:pt idx="77">
                  <c:v>0.013641966745598286</c:v>
                </c:pt>
                <c:pt idx="78">
                  <c:v>0.014010887720236747</c:v>
                </c:pt>
                <c:pt idx="79">
                  <c:v>0.014380389720639786</c:v>
                </c:pt>
                <c:pt idx="80">
                  <c:v>0.01475040677029401</c:v>
                </c:pt>
                <c:pt idx="81">
                  <c:v>0.015120876988364135</c:v>
                </c:pt>
                <c:pt idx="82">
                  <c:v>0.01549174237834508</c:v>
                </c:pt>
                <c:pt idx="83">
                  <c:v>0.01586294855736769</c:v>
                </c:pt>
                <c:pt idx="84">
                  <c:v>0.016234444552865396</c:v>
                </c:pt>
                <c:pt idx="85">
                  <c:v>0.016606182576856948</c:v>
                </c:pt>
                <c:pt idx="86">
                  <c:v>0.0169781178381725</c:v>
                </c:pt>
                <c:pt idx="87">
                  <c:v>0.017350208349395494</c:v>
                </c:pt>
                <c:pt idx="88">
                  <c:v>0.017722414757088766</c:v>
                </c:pt>
                <c:pt idx="89">
                  <c:v>0.01809470017436723</c:v>
                </c:pt>
                <c:pt idx="90">
                  <c:v>0.018467030029181104</c:v>
                </c:pt>
                <c:pt idx="91">
                  <c:v>0.01883937191806142</c:v>
                </c:pt>
                <c:pt idx="92">
                  <c:v>0.019211695471467186</c:v>
                </c:pt>
                <c:pt idx="93">
                  <c:v>0.019583972225572725</c:v>
                </c:pt>
                <c:pt idx="94">
                  <c:v>0.01995617550323677</c:v>
                </c:pt>
                <c:pt idx="95">
                  <c:v>0.020328280301439128</c:v>
                </c:pt>
                <c:pt idx="96">
                  <c:v>0.020700263186325993</c:v>
                </c:pt>
                <c:pt idx="97">
                  <c:v>0.021072102194337534</c:v>
                </c:pt>
                <c:pt idx="98">
                  <c:v>0.021443776739807918</c:v>
                </c:pt>
                <c:pt idx="99">
                  <c:v>0.021815267528139674</c:v>
                </c:pt>
                <c:pt idx="100">
                  <c:v>0.02218655647454434</c:v>
                </c:pt>
                <c:pt idx="101">
                  <c:v>0.02255762662779898</c:v>
                </c:pt>
                <c:pt idx="102">
                  <c:v>0.023060743464216958</c:v>
                </c:pt>
                <c:pt idx="103">
                  <c:v>0.02366999393581449</c:v>
                </c:pt>
                <c:pt idx="104">
                  <c:v>0.02436488081674082</c:v>
                </c:pt>
                <c:pt idx="105">
                  <c:v>0.025128154766233153</c:v>
                </c:pt>
                <c:pt idx="106">
                  <c:v>0.02594658236016283</c:v>
                </c:pt>
                <c:pt idx="107">
                  <c:v>0.02680975263324566</c:v>
                </c:pt>
                <c:pt idx="108">
                  <c:v>0.027709997646333494</c:v>
                </c:pt>
                <c:pt idx="109">
                  <c:v>0.02864149403459337</c:v>
                </c:pt>
                <c:pt idx="110">
                  <c:v>0.029600017640786375</c:v>
                </c:pt>
                <c:pt idx="111">
                  <c:v>0.030582384473894577</c:v>
                </c:pt>
                <c:pt idx="112">
                  <c:v>0.03158626063595193</c:v>
                </c:pt>
                <c:pt idx="113">
                  <c:v>0.03260985269705046</c:v>
                </c:pt>
                <c:pt idx="114">
                  <c:v>0.0336517956178492</c:v>
                </c:pt>
                <c:pt idx="115">
                  <c:v>0.03471099329865316</c:v>
                </c:pt>
                <c:pt idx="116">
                  <c:v>0.03578656057672546</c:v>
                </c:pt>
                <c:pt idx="117">
                  <c:v>0.03687774504105661</c:v>
                </c:pt>
                <c:pt idx="118">
                  <c:v>0.03798389935086701</c:v>
                </c:pt>
                <c:pt idx="119">
                  <c:v>0.0391044441474556</c:v>
                </c:pt>
                <c:pt idx="120">
                  <c:v>0.04023885552682503</c:v>
                </c:pt>
                <c:pt idx="121">
                  <c:v>0.041386647755669435</c:v>
                </c:pt>
                <c:pt idx="122">
                  <c:v>0.04254736772598119</c:v>
                </c:pt>
                <c:pt idx="123">
                  <c:v>0.04372058687217332</c:v>
                </c:pt>
                <c:pt idx="124">
                  <c:v>0.04490589863332634</c:v>
                </c:pt>
                <c:pt idx="125">
                  <c:v>0.04610291453246325</c:v>
                </c:pt>
                <c:pt idx="126">
                  <c:v>0.04731126286196046</c:v>
                </c:pt>
                <c:pt idx="127">
                  <c:v>0.048530586619312505</c:v>
                </c:pt>
                <c:pt idx="128">
                  <c:v>0.04976054267256841</c:v>
                </c:pt>
                <c:pt idx="129">
                  <c:v>0.05100080053055747</c:v>
                </c:pt>
                <c:pt idx="130">
                  <c:v>0.05225104170330206</c:v>
                </c:pt>
                <c:pt idx="131">
                  <c:v>0.053510958864729286</c:v>
                </c:pt>
                <c:pt idx="132">
                  <c:v>0.054780255308916954</c:v>
                </c:pt>
                <c:pt idx="133">
                  <c:v>0.056058644316421005</c:v>
                </c:pt>
                <c:pt idx="134">
                  <c:v>0.05734584867535262</c:v>
                </c:pt>
                <c:pt idx="135">
                  <c:v>0.058641600169415255</c:v>
                </c:pt>
                <c:pt idx="136">
                  <c:v>0.0599456391542161</c:v>
                </c:pt>
                <c:pt idx="137">
                  <c:v>0.06125771412900628</c:v>
                </c:pt>
                <c:pt idx="138">
                  <c:v>0.06257758136349183</c:v>
                </c:pt>
                <c:pt idx="139">
                  <c:v>0.06390500453311392</c:v>
                </c:pt>
                <c:pt idx="140">
                  <c:v>0.0652397543917107</c:v>
                </c:pt>
                <c:pt idx="141">
                  <c:v>0.0665816084576339</c:v>
                </c:pt>
                <c:pt idx="142">
                  <c:v>0.06793035072699555</c:v>
                </c:pt>
                <c:pt idx="143">
                  <c:v>0.06928577140138616</c:v>
                </c:pt>
                <c:pt idx="144">
                  <c:v>0.07064766663623424</c:v>
                </c:pt>
                <c:pt idx="145">
                  <c:v>0.07201583830285575</c:v>
                </c:pt>
                <c:pt idx="146">
                  <c:v>0.07339009376670967</c:v>
                </c:pt>
                <c:pt idx="147">
                  <c:v>0.07477024567786461</c:v>
                </c:pt>
                <c:pt idx="148">
                  <c:v>0.07615611177448824</c:v>
                </c:pt>
                <c:pt idx="149">
                  <c:v>0.07754751469693297</c:v>
                </c:pt>
                <c:pt idx="150">
                  <c:v>0.07894428181243511</c:v>
                </c:pt>
                <c:pt idx="151">
                  <c:v>0.08034624504889926</c:v>
                </c:pt>
                <c:pt idx="152">
                  <c:v>0.08183208451549563</c:v>
                </c:pt>
                <c:pt idx="153">
                  <c:v>0.08338615429243486</c:v>
                </c:pt>
                <c:pt idx="154">
                  <c:v>0.08500100006380919</c:v>
                </c:pt>
                <c:pt idx="155">
                  <c:v>0.08666533068999561</c:v>
                </c:pt>
                <c:pt idx="156">
                  <c:v>0.08837322138704967</c:v>
                </c:pt>
                <c:pt idx="157">
                  <c:v>0.09011757692673397</c:v>
                </c:pt>
                <c:pt idx="158">
                  <c:v>0.09189451514676068</c:v>
                </c:pt>
                <c:pt idx="159">
                  <c:v>0.09369982524794764</c:v>
                </c:pt>
                <c:pt idx="160">
                  <c:v>0.09553109168965203</c:v>
                </c:pt>
                <c:pt idx="161">
                  <c:v>0.09738580798823213</c:v>
                </c:pt>
                <c:pt idx="162">
                  <c:v>0.09926243005455986</c:v>
                </c:pt>
                <c:pt idx="163">
                  <c:v>0.1011593853392991</c:v>
                </c:pt>
                <c:pt idx="164">
                  <c:v>0.10307560679635275</c:v>
                </c:pt>
                <c:pt idx="165">
                  <c:v>0.10501001705085622</c:v>
                </c:pt>
                <c:pt idx="166">
                  <c:v>0.10696180399240163</c:v>
                </c:pt>
                <c:pt idx="167">
                  <c:v>0.10893015353248323</c:v>
                </c:pt>
                <c:pt idx="168">
                  <c:v>0.11091439375027948</c:v>
                </c:pt>
                <c:pt idx="169">
                  <c:v>0.11291385658446508</c:v>
                </c:pt>
                <c:pt idx="170">
                  <c:v>0.11492795387047179</c:v>
                </c:pt>
                <c:pt idx="171">
                  <c:v>0.11695610557032173</c:v>
                </c:pt>
                <c:pt idx="172">
                  <c:v>0.11899778003096023</c:v>
                </c:pt>
                <c:pt idx="173">
                  <c:v>0.12105245649259126</c:v>
                </c:pt>
                <c:pt idx="174">
                  <c:v>0.12311964637189024</c:v>
                </c:pt>
                <c:pt idx="175">
                  <c:v>0.12519887345125233</c:v>
                </c:pt>
                <c:pt idx="176">
                  <c:v>0.12728968504044402</c:v>
                </c:pt>
                <c:pt idx="177">
                  <c:v>0.129391641322507</c:v>
                </c:pt>
                <c:pt idx="178">
                  <c:v>0.13150432110319205</c:v>
                </c:pt>
                <c:pt idx="179">
                  <c:v>0.13362731593191463</c:v>
                </c:pt>
                <c:pt idx="180">
                  <c:v>0.13576023295934597</c:v>
                </c:pt>
                <c:pt idx="181">
                  <c:v>0.13790269157403137</c:v>
                </c:pt>
                <c:pt idx="182">
                  <c:v>0.14005432472174914</c:v>
                </c:pt>
                <c:pt idx="183">
                  <c:v>0.14221477688646925</c:v>
                </c:pt>
                <c:pt idx="184">
                  <c:v>0.1443837045994129</c:v>
                </c:pt>
                <c:pt idx="185">
                  <c:v>0.1465607751525504</c:v>
                </c:pt>
                <c:pt idx="186">
                  <c:v>0.14874566668858297</c:v>
                </c:pt>
                <c:pt idx="187">
                  <c:v>0.15093806732432397</c:v>
                </c:pt>
                <c:pt idx="188">
                  <c:v>0.15313767503124595</c:v>
                </c:pt>
                <c:pt idx="189">
                  <c:v>0.1553441969964449</c:v>
                </c:pt>
                <c:pt idx="190">
                  <c:v>0.15755734940550917</c:v>
                </c:pt>
                <c:pt idx="191">
                  <c:v>0.1597768569475687</c:v>
                </c:pt>
                <c:pt idx="192">
                  <c:v>0.16200245255940526</c:v>
                </c:pt>
                <c:pt idx="193">
                  <c:v>0.1642338770228562</c:v>
                </c:pt>
                <c:pt idx="194">
                  <c:v>0.16647087870068752</c:v>
                </c:pt>
                <c:pt idx="195">
                  <c:v>0.16871321319690888</c:v>
                </c:pt>
                <c:pt idx="196">
                  <c:v>0.17096064309968398</c:v>
                </c:pt>
                <c:pt idx="197">
                  <c:v>0.17321293768728277</c:v>
                </c:pt>
                <c:pt idx="198">
                  <c:v>0.1754698726851653</c:v>
                </c:pt>
                <c:pt idx="199">
                  <c:v>0.17773123000695076</c:v>
                </c:pt>
                <c:pt idx="200">
                  <c:v>0.17999679752854753</c:v>
                </c:pt>
                <c:pt idx="201">
                  <c:v>0.18226636885728087</c:v>
                </c:pt>
                <c:pt idx="202">
                  <c:v>0.18754898144091087</c:v>
                </c:pt>
                <c:pt idx="203">
                  <c:v>0.1951200257142925</c:v>
                </c:pt>
                <c:pt idx="204">
                  <c:v>0.20461131881955696</c:v>
                </c:pt>
                <c:pt idx="205">
                  <c:v>0.21547739562971524</c:v>
                </c:pt>
                <c:pt idx="206">
                  <c:v>0.2274303260792352</c:v>
                </c:pt>
                <c:pt idx="207">
                  <c:v>0.2401111933489232</c:v>
                </c:pt>
                <c:pt idx="208">
                  <c:v>0.25332744313140776</c:v>
                </c:pt>
                <c:pt idx="209">
                  <c:v>0.2668534024370972</c:v>
                </c:pt>
                <c:pt idx="210">
                  <c:v>0.2805644613025034</c:v>
                </c:pt>
                <c:pt idx="211">
                  <c:v>0.29431741824259905</c:v>
                </c:pt>
                <c:pt idx="212">
                  <c:v>0.3080289979746383</c:v>
                </c:pt>
                <c:pt idx="213">
                  <c:v>0.32160419987641875</c:v>
                </c:pt>
                <c:pt idx="214">
                  <c:v>0.3349835917328103</c:v>
                </c:pt>
                <c:pt idx="215">
                  <c:v>0.3481000966358087</c:v>
                </c:pt>
                <c:pt idx="216">
                  <c:v>0.36090816325364383</c:v>
                </c:pt>
                <c:pt idx="217">
                  <c:v>0.37335734409235805</c:v>
                </c:pt>
                <c:pt idx="218">
                  <c:v>0.3854106519146624</c:v>
                </c:pt>
                <c:pt idx="219">
                  <c:v>0.3970281039726652</c:v>
                </c:pt>
                <c:pt idx="220">
                  <c:v>0.4091512910355839</c:v>
                </c:pt>
                <c:pt idx="221">
                  <c:v>0.4216487100048</c:v>
                </c:pt>
                <c:pt idx="222">
                  <c:v>0.4344961709668126</c:v>
                </c:pt>
                <c:pt idx="223">
                  <c:v>0.44757970508358624</c:v>
                </c:pt>
                <c:pt idx="224">
                  <c:v>0.46087031964083885</c:v>
                </c:pt>
                <c:pt idx="225">
                  <c:v>0.47428622710321966</c:v>
                </c:pt>
                <c:pt idx="226">
                  <c:v>0.48780696660362677</c:v>
                </c:pt>
                <c:pt idx="227">
                  <c:v>0.5013771402827468</c:v>
                </c:pt>
                <c:pt idx="228">
                  <c:v>0.5149841025442992</c:v>
                </c:pt>
                <c:pt idx="229">
                  <c:v>0.5285902116669131</c:v>
                </c:pt>
                <c:pt idx="230">
                  <c:v>0.5421875279945362</c:v>
                </c:pt>
                <c:pt idx="231">
                  <c:v>0.5557494945682687</c:v>
                </c:pt>
                <c:pt idx="232">
                  <c:v>0.5692706780613856</c:v>
                </c:pt>
                <c:pt idx="233">
                  <c:v>0.5827314297114992</c:v>
                </c:pt>
                <c:pt idx="234">
                  <c:v>0.5961275618420598</c:v>
                </c:pt>
                <c:pt idx="235">
                  <c:v>0.6094438341975346</c:v>
                </c:pt>
                <c:pt idx="236">
                  <c:v>0.622676702380749</c:v>
                </c:pt>
                <c:pt idx="237">
                  <c:v>0.635014269891733</c:v>
                </c:pt>
                <c:pt idx="238">
                  <c:v>0.6466169728056508</c:v>
                </c:pt>
                <c:pt idx="239">
                  <c:v>0.6575292095628065</c:v>
                </c:pt>
                <c:pt idx="240">
                  <c:v>0.6678870528208753</c:v>
                </c:pt>
                <c:pt idx="241">
                  <c:v>0.6777180829500424</c:v>
                </c:pt>
                <c:pt idx="242">
                  <c:v>0.6871212825580589</c:v>
                </c:pt>
                <c:pt idx="243">
                  <c:v>0.6961039358329147</c:v>
                </c:pt>
                <c:pt idx="244">
                  <c:v>0.7047366876150365</c:v>
                </c:pt>
                <c:pt idx="245">
                  <c:v>0.7130129963958374</c:v>
                </c:pt>
                <c:pt idx="246">
                  <c:v>0.7209852442282725</c:v>
                </c:pt>
                <c:pt idx="247">
                  <c:v>0.7286392424690594</c:v>
                </c:pt>
                <c:pt idx="248">
                  <c:v>0.7360164924535858</c:v>
                </c:pt>
                <c:pt idx="249">
                  <c:v>0.743098953863339</c:v>
                </c:pt>
                <c:pt idx="250">
                  <c:v>0.7499218774636729</c:v>
                </c:pt>
                <c:pt idx="251">
                  <c:v>0.7565045762431549</c:v>
                </c:pt>
                <c:pt idx="252">
                  <c:v>0.7626374776046431</c:v>
                </c:pt>
                <c:pt idx="253">
                  <c:v>0.7683742959159839</c:v>
                </c:pt>
                <c:pt idx="254">
                  <c:v>0.7737703536854168</c:v>
                </c:pt>
                <c:pt idx="255">
                  <c:v>0.7788623325927512</c:v>
                </c:pt>
                <c:pt idx="256">
                  <c:v>0.7836897135593982</c:v>
                </c:pt>
                <c:pt idx="257">
                  <c:v>0.7883185316234741</c:v>
                </c:pt>
                <c:pt idx="258">
                  <c:v>0.7926926416428276</c:v>
                </c:pt>
                <c:pt idx="259">
                  <c:v>0.7968437794134399</c:v>
                </c:pt>
                <c:pt idx="260">
                  <c:v>0.8008334054960097</c:v>
                </c:pt>
                <c:pt idx="261">
                  <c:v>0.8046533221967488</c:v>
                </c:pt>
                <c:pt idx="262">
                  <c:v>0.8082933103982461</c:v>
                </c:pt>
                <c:pt idx="263">
                  <c:v>0.8117816787025626</c:v>
                </c:pt>
                <c:pt idx="264">
                  <c:v>0.8151328596836382</c:v>
                </c:pt>
                <c:pt idx="265">
                  <c:v>0.8183399766514213</c:v>
                </c:pt>
                <c:pt idx="266">
                  <c:v>0.8214097821561747</c:v>
                </c:pt>
                <c:pt idx="267">
                  <c:v>0.8243564328224386</c:v>
                </c:pt>
                <c:pt idx="268">
                  <c:v>0.8271822030876732</c:v>
                </c:pt>
                <c:pt idx="269">
                  <c:v>0.829887857605917</c:v>
                </c:pt>
                <c:pt idx="270">
                  <c:v>0.8324814165326956</c:v>
                </c:pt>
                <c:pt idx="271">
                  <c:v>0.8349688279737184</c:v>
                </c:pt>
                <c:pt idx="272">
                  <c:v>0.8373516502918292</c:v>
                </c:pt>
                <c:pt idx="273">
                  <c:v>0.8396338113681814</c:v>
                </c:pt>
                <c:pt idx="274">
                  <c:v>0.8418208115875944</c:v>
                </c:pt>
                <c:pt idx="275">
                  <c:v>0.843915701078458</c:v>
                </c:pt>
                <c:pt idx="276">
                  <c:v>0.8459210243568575</c:v>
                </c:pt>
                <c:pt idx="277">
                  <c:v>0.8478407617302398</c:v>
                </c:pt>
                <c:pt idx="278">
                  <c:v>0.8496783933490685</c:v>
                </c:pt>
                <c:pt idx="279">
                  <c:v>0.8514363414187155</c:v>
                </c:pt>
                <c:pt idx="280">
                  <c:v>0.8531174597829395</c:v>
                </c:pt>
                <c:pt idx="281">
                  <c:v>0.8547248730594663</c:v>
                </c:pt>
                <c:pt idx="282">
                  <c:v>0.8562610609601882</c:v>
                </c:pt>
                <c:pt idx="283">
                  <c:v>0.8577283182679037</c:v>
                </c:pt>
                <c:pt idx="284">
                  <c:v>0.8591292081782665</c:v>
                </c:pt>
                <c:pt idx="285">
                  <c:v>0.8604660928976646</c:v>
                </c:pt>
                <c:pt idx="286">
                  <c:v>0.8617410165749286</c:v>
                </c:pt>
                <c:pt idx="287">
                  <c:v>0.8629560796470973</c:v>
                </c:pt>
                <c:pt idx="288">
                  <c:v>0.8641133837892334</c:v>
                </c:pt>
                <c:pt idx="289">
                  <c:v>0.8652148059688405</c:v>
                </c:pt>
                <c:pt idx="290">
                  <c:v>0.8662621342282228</c:v>
                </c:pt>
                <c:pt idx="291">
                  <c:v>0.8672571788872856</c:v>
                </c:pt>
                <c:pt idx="292">
                  <c:v>0.8682016418030811</c:v>
                </c:pt>
                <c:pt idx="293">
                  <c:v>0.8690970990697118</c:v>
                </c:pt>
                <c:pt idx="294">
                  <c:v>0.8699451072487534</c:v>
                </c:pt>
                <c:pt idx="295">
                  <c:v>0.8707471791953768</c:v>
                </c:pt>
                <c:pt idx="296">
                  <c:v>0.8715047254870516</c:v>
                </c:pt>
                <c:pt idx="297">
                  <c:v>0.8722191023680348</c:v>
                </c:pt>
                <c:pt idx="298">
                  <c:v>0.8728916396869455</c:v>
                </c:pt>
                <c:pt idx="299">
                  <c:v>0.8735236005250415</c:v>
                </c:pt>
                <c:pt idx="300">
                  <c:v>0.8741161837461854</c:v>
                </c:pt>
                <c:pt idx="301">
                  <c:v>0.874670557457182</c:v>
                </c:pt>
                <c:pt idx="302">
                  <c:v>0.8751878477885006</c:v>
                </c:pt>
                <c:pt idx="303">
                  <c:v>0.8756691241231336</c:v>
                </c:pt>
                <c:pt idx="304">
                  <c:v>0.8761154183812099</c:v>
                </c:pt>
                <c:pt idx="305">
                  <c:v>0.876527731798197</c:v>
                </c:pt>
                <c:pt idx="306">
                  <c:v>0.8769070218117868</c:v>
                </c:pt>
                <c:pt idx="307">
                  <c:v>0.8772542068538305</c:v>
                </c:pt>
                <c:pt idx="308">
                  <c:v>0.877570177781844</c:v>
                </c:pt>
                <c:pt idx="309">
                  <c:v>0.8778557927233738</c:v>
                </c:pt>
                <c:pt idx="310">
                  <c:v>0.8781118742609532</c:v>
                </c:pt>
                <c:pt idx="311">
                  <c:v>0.8783392179093901</c:v>
                </c:pt>
                <c:pt idx="312">
                  <c:v>0.8785385934674328</c:v>
                </c:pt>
                <c:pt idx="313">
                  <c:v>0.8787107409062139</c:v>
                </c:pt>
                <c:pt idx="314">
                  <c:v>0.8788563741050677</c:v>
                </c:pt>
                <c:pt idx="315">
                  <c:v>0.8789761849648131</c:v>
                </c:pt>
                <c:pt idx="316">
                  <c:v>0.8790708411541346</c:v>
                </c:pt>
                <c:pt idx="317">
                  <c:v>0.8791409864600793</c:v>
                </c:pt>
                <c:pt idx="318">
                  <c:v>0.8791872447237662</c:v>
                </c:pt>
                <c:pt idx="319">
                  <c:v>0.8792102198995483</c:v>
                </c:pt>
                <c:pt idx="320">
                  <c:v>0.8792104950695044</c:v>
                </c:pt>
                <c:pt idx="321">
                  <c:v>0.879188634914581</c:v>
                </c:pt>
                <c:pt idx="322">
                  <c:v>0.8791451872141962</c:v>
                </c:pt>
                <c:pt idx="323">
                  <c:v>0.8790806819852345</c:v>
                </c:pt>
                <c:pt idx="324">
                  <c:v>0.878995632477736</c:v>
                </c:pt>
                <c:pt idx="325">
                  <c:v>0.8788905370438258</c:v>
                </c:pt>
                <c:pt idx="326">
                  <c:v>0.8787658789917682</c:v>
                </c:pt>
                <c:pt idx="327">
                  <c:v>0.8786221266772891</c:v>
                </c:pt>
                <c:pt idx="328">
                  <c:v>0.8784597350308434</c:v>
                </c:pt>
                <c:pt idx="329">
                  <c:v>0.8782791460834252</c:v>
                </c:pt>
                <c:pt idx="330">
                  <c:v>0.8780807887685466</c:v>
                </c:pt>
                <c:pt idx="331">
                  <c:v>0.8778650798561637</c:v>
                </c:pt>
                <c:pt idx="332">
                  <c:v>0.8776324248288505</c:v>
                </c:pt>
                <c:pt idx="333">
                  <c:v>0.8773832177941046</c:v>
                </c:pt>
                <c:pt idx="334">
                  <c:v>0.8771178418983863</c:v>
                </c:pt>
                <c:pt idx="335">
                  <c:v>0.8768366702233784</c:v>
                </c:pt>
                <c:pt idx="336">
                  <c:v>0.8765400659538423</c:v>
                </c:pt>
                <c:pt idx="337">
                  <c:v>0.8762283824847295</c:v>
                </c:pt>
                <c:pt idx="338">
                  <c:v>0.8759019641288749</c:v>
                </c:pt>
                <c:pt idx="339">
                  <c:v>0.8755611465049873</c:v>
                </c:pt>
                <c:pt idx="340">
                  <c:v>0.8752062565493374</c:v>
                </c:pt>
                <c:pt idx="341">
                  <c:v>0.8748376129678258</c:v>
                </c:pt>
                <c:pt idx="342">
                  <c:v>0.8744555267280234</c:v>
                </c:pt>
                <c:pt idx="343">
                  <c:v>0.8740603011148705</c:v>
                </c:pt>
                <c:pt idx="344">
                  <c:v>0.8736522319626362</c:v>
                </c:pt>
                <c:pt idx="345">
                  <c:v>0.87323160813254</c:v>
                </c:pt>
                <c:pt idx="346">
                  <c:v>0.8727987116669981</c:v>
                </c:pt>
                <c:pt idx="347">
                  <c:v>0.8723538178848907</c:v>
                </c:pt>
                <c:pt idx="348">
                  <c:v>0.8718971957657862</c:v>
                </c:pt>
                <c:pt idx="349">
                  <c:v>0.8714291081925972</c:v>
                </c:pt>
                <c:pt idx="350">
                  <c:v>0.8709498119964103</c:v>
                </c:pt>
              </c:numCache>
            </c:numRef>
          </c:val>
          <c:smooth val="0"/>
        </c:ser>
        <c:marker val="1"/>
        <c:axId val="38193123"/>
        <c:axId val="8193788"/>
      </c:lineChart>
      <c:catAx>
        <c:axId val="38193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193788"/>
        <c:crosses val="autoZero"/>
        <c:auto val="1"/>
        <c:lblOffset val="100"/>
        <c:tickLblSkip val="10"/>
        <c:noMultiLvlLbl val="0"/>
      </c:catAx>
      <c:valAx>
        <c:axId val="81937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1931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55"/>
          <c:y val="0.1935"/>
          <c:w val="0.175"/>
          <c:h val="0.2375"/>
        </c:manualLayout>
      </c:layout>
      <c:overlay val="0"/>
      <c:spPr>
        <a:noFill/>
      </c:spPr>
    </c:legend>
    <c:plotVisOnly val="1"/>
    <c:dispBlanksAs val="gap"/>
    <c:showDLblsOverMax val="0"/>
  </c:chart>
  <c:spPr>
    <a:solidFill>
      <a:srgbClr val="FFFF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∆ Temperatura globale  (°C)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23"/>
          <c:w val="0.96575"/>
          <c:h val="0.852"/>
        </c:manualLayout>
      </c:layout>
      <c:lineChart>
        <c:grouping val="standard"/>
        <c:varyColors val="0"/>
        <c:ser>
          <c:idx val="0"/>
          <c:order val="0"/>
          <c:tx>
            <c:v>Temperatura globale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modello!$F$254:$F$354</c:f>
              <c:numCache>
                <c:ptCount val="10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  <c:pt idx="51">
                  <c:v>2051</c:v>
                </c:pt>
                <c:pt idx="52">
                  <c:v>2052</c:v>
                </c:pt>
                <c:pt idx="53">
                  <c:v>2053</c:v>
                </c:pt>
                <c:pt idx="54">
                  <c:v>2054</c:v>
                </c:pt>
                <c:pt idx="55">
                  <c:v>2055</c:v>
                </c:pt>
                <c:pt idx="56">
                  <c:v>2056</c:v>
                </c:pt>
                <c:pt idx="57">
                  <c:v>2057</c:v>
                </c:pt>
                <c:pt idx="58">
                  <c:v>2058</c:v>
                </c:pt>
                <c:pt idx="59">
                  <c:v>2059</c:v>
                </c:pt>
                <c:pt idx="60">
                  <c:v>2060</c:v>
                </c:pt>
                <c:pt idx="61">
                  <c:v>2061</c:v>
                </c:pt>
                <c:pt idx="62">
                  <c:v>2062</c:v>
                </c:pt>
                <c:pt idx="63">
                  <c:v>2063</c:v>
                </c:pt>
                <c:pt idx="64">
                  <c:v>2064</c:v>
                </c:pt>
                <c:pt idx="65">
                  <c:v>2065</c:v>
                </c:pt>
                <c:pt idx="66">
                  <c:v>2066</c:v>
                </c:pt>
                <c:pt idx="67">
                  <c:v>2067</c:v>
                </c:pt>
                <c:pt idx="68">
                  <c:v>2068</c:v>
                </c:pt>
                <c:pt idx="69">
                  <c:v>2069</c:v>
                </c:pt>
                <c:pt idx="70">
                  <c:v>2070</c:v>
                </c:pt>
                <c:pt idx="71">
                  <c:v>2071</c:v>
                </c:pt>
                <c:pt idx="72">
                  <c:v>2072</c:v>
                </c:pt>
                <c:pt idx="73">
                  <c:v>2073</c:v>
                </c:pt>
                <c:pt idx="74">
                  <c:v>2074</c:v>
                </c:pt>
                <c:pt idx="75">
                  <c:v>2075</c:v>
                </c:pt>
                <c:pt idx="76">
                  <c:v>2076</c:v>
                </c:pt>
                <c:pt idx="77">
                  <c:v>2077</c:v>
                </c:pt>
                <c:pt idx="78">
                  <c:v>2078</c:v>
                </c:pt>
                <c:pt idx="79">
                  <c:v>2079</c:v>
                </c:pt>
                <c:pt idx="80">
                  <c:v>2080</c:v>
                </c:pt>
                <c:pt idx="81">
                  <c:v>2081</c:v>
                </c:pt>
                <c:pt idx="82">
                  <c:v>2082</c:v>
                </c:pt>
                <c:pt idx="83">
                  <c:v>2083</c:v>
                </c:pt>
                <c:pt idx="84">
                  <c:v>2084</c:v>
                </c:pt>
                <c:pt idx="85">
                  <c:v>2085</c:v>
                </c:pt>
                <c:pt idx="86">
                  <c:v>2086</c:v>
                </c:pt>
                <c:pt idx="87">
                  <c:v>2087</c:v>
                </c:pt>
                <c:pt idx="88">
                  <c:v>2088</c:v>
                </c:pt>
                <c:pt idx="89">
                  <c:v>2089</c:v>
                </c:pt>
                <c:pt idx="90">
                  <c:v>2090</c:v>
                </c:pt>
                <c:pt idx="91">
                  <c:v>2091</c:v>
                </c:pt>
                <c:pt idx="92">
                  <c:v>2092</c:v>
                </c:pt>
                <c:pt idx="93">
                  <c:v>2093</c:v>
                </c:pt>
                <c:pt idx="94">
                  <c:v>2094</c:v>
                </c:pt>
                <c:pt idx="95">
                  <c:v>2095</c:v>
                </c:pt>
                <c:pt idx="96">
                  <c:v>2096</c:v>
                </c:pt>
                <c:pt idx="97">
                  <c:v>2097</c:v>
                </c:pt>
                <c:pt idx="98">
                  <c:v>2098</c:v>
                </c:pt>
                <c:pt idx="99">
                  <c:v>2099</c:v>
                </c:pt>
                <c:pt idx="100">
                  <c:v>2100</c:v>
                </c:pt>
              </c:numCache>
            </c:numRef>
          </c:cat>
          <c:val>
            <c:numRef>
              <c:f>modello!$BG$254:$BG$354</c:f>
              <c:numCache>
                <c:ptCount val="101"/>
                <c:pt idx="0">
                  <c:v>0</c:v>
                </c:pt>
                <c:pt idx="1">
                  <c:v>0.016483099063748896</c:v>
                </c:pt>
                <c:pt idx="2">
                  <c:v>0.033525599727746824</c:v>
                </c:pt>
                <c:pt idx="3">
                  <c:v>0.051048216867053964</c:v>
                </c:pt>
                <c:pt idx="4">
                  <c:v>0.0689805978314505</c:v>
                </c:pt>
                <c:pt idx="5">
                  <c:v>0.08726046477172278</c:v>
                </c:pt>
                <c:pt idx="6">
                  <c:v>0.10583233919328361</c:v>
                </c:pt>
                <c:pt idx="7">
                  <c:v>0.12464708712970218</c:v>
                </c:pt>
                <c:pt idx="8">
                  <c:v>0.1436622866166568</c:v>
                </c:pt>
                <c:pt idx="9">
                  <c:v>0.16283790169083368</c:v>
                </c:pt>
                <c:pt idx="10">
                  <c:v>0.18213874820882858</c:v>
                </c:pt>
                <c:pt idx="11">
                  <c:v>0.20153502531415346</c:v>
                </c:pt>
                <c:pt idx="12">
                  <c:v>0.22099974210237705</c:v>
                </c:pt>
                <c:pt idx="13">
                  <c:v>0.24050838994003643</c:v>
                </c:pt>
                <c:pt idx="14">
                  <c:v>0.26003989291326424</c:v>
                </c:pt>
                <c:pt idx="15">
                  <c:v>0.2795758849667279</c:v>
                </c:pt>
                <c:pt idx="16">
                  <c:v>0.2990998036828538</c:v>
                </c:pt>
                <c:pt idx="17">
                  <c:v>0.3185971244804553</c:v>
                </c:pt>
                <c:pt idx="18">
                  <c:v>0.33805539488744696</c:v>
                </c:pt>
                <c:pt idx="19">
                  <c:v>0.3574636754963101</c:v>
                </c:pt>
                <c:pt idx="20">
                  <c:v>0.3768123403525889</c:v>
                </c:pt>
                <c:pt idx="21">
                  <c:v>0.39609316629459745</c:v>
                </c:pt>
                <c:pt idx="22">
                  <c:v>0.4152991336221987</c:v>
                </c:pt>
                <c:pt idx="23">
                  <c:v>0.4344241713039798</c:v>
                </c:pt>
                <c:pt idx="24">
                  <c:v>0.4534631309013597</c:v>
                </c:pt>
                <c:pt idx="25">
                  <c:v>0.4724117416172191</c:v>
                </c:pt>
                <c:pt idx="26">
                  <c:v>0.49126644707283695</c:v>
                </c:pt>
                <c:pt idx="27">
                  <c:v>0.5100243151641468</c:v>
                </c:pt>
                <c:pt idx="28">
                  <c:v>0.5286830164832801</c:v>
                </c:pt>
                <c:pt idx="29">
                  <c:v>0.5472407468665157</c:v>
                </c:pt>
                <c:pt idx="30">
                  <c:v>0.5656961396439959</c:v>
                </c:pt>
                <c:pt idx="31">
                  <c:v>0.5840482314412352</c:v>
                </c:pt>
                <c:pt idx="32">
                  <c:v>0.6022964271076618</c:v>
                </c:pt>
                <c:pt idx="33">
                  <c:v>0.6204404401702404</c:v>
                </c:pt>
                <c:pt idx="34">
                  <c:v>0.6384802526709776</c:v>
                </c:pt>
                <c:pt idx="35">
                  <c:v>0.6564160929426712</c:v>
                </c:pt>
                <c:pt idx="36">
                  <c:v>0.6742484015257004</c:v>
                </c:pt>
                <c:pt idx="37">
                  <c:v>0.6919777966702969</c:v>
                </c:pt>
                <c:pt idx="38">
                  <c:v>0.7096050545798003</c:v>
                </c:pt>
                <c:pt idx="39">
                  <c:v>0.727131090136157</c:v>
                </c:pt>
                <c:pt idx="40">
                  <c:v>0.7445569326644201</c:v>
                </c:pt>
                <c:pt idx="41">
                  <c:v>0.7618837081467755</c:v>
                </c:pt>
                <c:pt idx="42">
                  <c:v>0.7791126266861801</c:v>
                </c:pt>
                <c:pt idx="43">
                  <c:v>0.7962449673377865</c:v>
                </c:pt>
                <c:pt idx="44">
                  <c:v>0.8132820639031582</c:v>
                </c:pt>
                <c:pt idx="45">
                  <c:v>0.8302252954101359</c:v>
                </c:pt>
                <c:pt idx="46">
                  <c:v>0.8470760769140844</c:v>
                </c:pt>
                <c:pt idx="47">
                  <c:v>0.8638358494800702</c:v>
                </c:pt>
                <c:pt idx="48">
                  <c:v>0.880506072652776</c:v>
                </c:pt>
                <c:pt idx="49">
                  <c:v>0.8970882186154483</c:v>
                </c:pt>
                <c:pt idx="50">
                  <c:v>0.9135837657835328</c:v>
                </c:pt>
                <c:pt idx="51">
                  <c:v>0.929994193161529</c:v>
                </c:pt>
                <c:pt idx="52">
                  <c:v>0.9463209763512241</c:v>
                </c:pt>
                <c:pt idx="53">
                  <c:v>0.9625655837041855</c:v>
                </c:pt>
                <c:pt idx="54">
                  <c:v>0.9787294724732383</c:v>
                </c:pt>
                <c:pt idx="55">
                  <c:v>0.9948140859979762</c:v>
                </c:pt>
                <c:pt idx="56">
                  <c:v>1.0108208514585342</c:v>
                </c:pt>
                <c:pt idx="57">
                  <c:v>1.0267511775285403</c:v>
                </c:pt>
                <c:pt idx="58">
                  <c:v>1.042606452471403</c:v>
                </c:pt>
                <c:pt idx="59">
                  <c:v>1.0583880428468369</c:v>
                </c:pt>
                <c:pt idx="60">
                  <c:v>1.0740972922643788</c:v>
                </c:pt>
                <c:pt idx="61">
                  <c:v>1.0897355202406507</c:v>
                </c:pt>
                <c:pt idx="62">
                  <c:v>1.1053040214941492</c:v>
                </c:pt>
                <c:pt idx="63">
                  <c:v>1.1208040654218632</c:v>
                </c:pt>
                <c:pt idx="64">
                  <c:v>1.1362368955679436</c:v>
                </c:pt>
                <c:pt idx="65">
                  <c:v>1.1516037293200996</c:v>
                </c:pt>
                <c:pt idx="66">
                  <c:v>1.1669057578253759</c:v>
                </c:pt>
                <c:pt idx="67">
                  <c:v>1.182144145908202</c:v>
                </c:pt>
                <c:pt idx="68">
                  <c:v>1.197320032064899</c:v>
                </c:pt>
                <c:pt idx="69">
                  <c:v>1.2124345286362617</c:v>
                </c:pt>
                <c:pt idx="70">
                  <c:v>1.227488722022772</c:v>
                </c:pt>
                <c:pt idx="71">
                  <c:v>1.2424836729026987</c:v>
                </c:pt>
                <c:pt idx="72">
                  <c:v>1.2574204165560914</c:v>
                </c:pt>
                <c:pt idx="73">
                  <c:v>1.2722999632549556</c:v>
                </c:pt>
                <c:pt idx="74">
                  <c:v>1.2871232986389451</c:v>
                </c:pt>
                <c:pt idx="75">
                  <c:v>1.3018913841318789</c:v>
                </c:pt>
                <c:pt idx="76">
                  <c:v>1.3166051574212372</c:v>
                </c:pt>
                <c:pt idx="77">
                  <c:v>1.331265532931942</c:v>
                </c:pt>
                <c:pt idx="78">
                  <c:v>1.3458734022997032</c:v>
                </c:pt>
                <c:pt idx="79">
                  <c:v>1.3604296348865257</c:v>
                </c:pt>
                <c:pt idx="80">
                  <c:v>1.3749350783030787</c:v>
                </c:pt>
                <c:pt idx="81">
                  <c:v>1.3893905589132773</c:v>
                </c:pt>
                <c:pt idx="82">
                  <c:v>1.4037968823556788</c:v>
                </c:pt>
                <c:pt idx="83">
                  <c:v>1.4181548340776342</c:v>
                </c:pt>
                <c:pt idx="84">
                  <c:v>1.432465179850278</c:v>
                </c:pt>
                <c:pt idx="85">
                  <c:v>1.4467286662797736</c:v>
                </c:pt>
                <c:pt idx="86">
                  <c:v>1.4609460213291083</c:v>
                </c:pt>
                <c:pt idx="87">
                  <c:v>1.4751179548262396</c:v>
                </c:pt>
                <c:pt idx="88">
                  <c:v>1.4892451589566085</c:v>
                </c:pt>
                <c:pt idx="89">
                  <c:v>1.5033283087588163</c:v>
                </c:pt>
                <c:pt idx="90">
                  <c:v>1.5173680626127186</c:v>
                </c:pt>
                <c:pt idx="91">
                  <c:v>1.531365062707985</c:v>
                </c:pt>
                <c:pt idx="92">
                  <c:v>1.5453199355073648</c:v>
                </c:pt>
                <c:pt idx="93">
                  <c:v>1.559233292205725</c:v>
                </c:pt>
                <c:pt idx="94">
                  <c:v>1.5731057291710775</c:v>
                </c:pt>
                <c:pt idx="95">
                  <c:v>1.5869378283736209</c:v>
                </c:pt>
                <c:pt idx="96">
                  <c:v>1.6007301578107895</c:v>
                </c:pt>
                <c:pt idx="97">
                  <c:v>1.614483271918153</c:v>
                </c:pt>
                <c:pt idx="98">
                  <c:v>1.6281977119647564</c:v>
                </c:pt>
                <c:pt idx="99">
                  <c:v>1.6418740064425588</c:v>
                </c:pt>
                <c:pt idx="100">
                  <c:v>1.6555126714455877</c:v>
                </c:pt>
              </c:numCache>
            </c:numRef>
          </c:val>
          <c:smooth val="0"/>
        </c:ser>
        <c:marker val="1"/>
        <c:axId val="6635229"/>
        <c:axId val="59717062"/>
      </c:lineChart>
      <c:catAx>
        <c:axId val="6635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717062"/>
        <c:crosses val="autoZero"/>
        <c:auto val="1"/>
        <c:lblOffset val="100"/>
        <c:tickLblSkip val="10"/>
        <c:noMultiLvlLbl val="0"/>
      </c:catAx>
      <c:valAx>
        <c:axId val="59717062"/>
        <c:scaling>
          <c:orientation val="minMax"/>
          <c:max val="3.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352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Concentrazione CO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(ppm)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9325"/>
          <c:w val="0.96375"/>
          <c:h val="0.8905"/>
        </c:manualLayout>
      </c:layout>
      <c:lineChart>
        <c:grouping val="standard"/>
        <c:varyColors val="0"/>
        <c:ser>
          <c:idx val="0"/>
          <c:order val="0"/>
          <c:tx>
            <c:v>CO2 ppm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modello!$F$254:$F$354</c:f>
              <c:numCache>
                <c:ptCount val="10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  <c:pt idx="51">
                  <c:v>2051</c:v>
                </c:pt>
                <c:pt idx="52">
                  <c:v>2052</c:v>
                </c:pt>
                <c:pt idx="53">
                  <c:v>2053</c:v>
                </c:pt>
                <c:pt idx="54">
                  <c:v>2054</c:v>
                </c:pt>
                <c:pt idx="55">
                  <c:v>2055</c:v>
                </c:pt>
                <c:pt idx="56">
                  <c:v>2056</c:v>
                </c:pt>
                <c:pt idx="57">
                  <c:v>2057</c:v>
                </c:pt>
                <c:pt idx="58">
                  <c:v>2058</c:v>
                </c:pt>
                <c:pt idx="59">
                  <c:v>2059</c:v>
                </c:pt>
                <c:pt idx="60">
                  <c:v>2060</c:v>
                </c:pt>
                <c:pt idx="61">
                  <c:v>2061</c:v>
                </c:pt>
                <c:pt idx="62">
                  <c:v>2062</c:v>
                </c:pt>
                <c:pt idx="63">
                  <c:v>2063</c:v>
                </c:pt>
                <c:pt idx="64">
                  <c:v>2064</c:v>
                </c:pt>
                <c:pt idx="65">
                  <c:v>2065</c:v>
                </c:pt>
                <c:pt idx="66">
                  <c:v>2066</c:v>
                </c:pt>
                <c:pt idx="67">
                  <c:v>2067</c:v>
                </c:pt>
                <c:pt idx="68">
                  <c:v>2068</c:v>
                </c:pt>
                <c:pt idx="69">
                  <c:v>2069</c:v>
                </c:pt>
                <c:pt idx="70">
                  <c:v>2070</c:v>
                </c:pt>
                <c:pt idx="71">
                  <c:v>2071</c:v>
                </c:pt>
                <c:pt idx="72">
                  <c:v>2072</c:v>
                </c:pt>
                <c:pt idx="73">
                  <c:v>2073</c:v>
                </c:pt>
                <c:pt idx="74">
                  <c:v>2074</c:v>
                </c:pt>
                <c:pt idx="75">
                  <c:v>2075</c:v>
                </c:pt>
                <c:pt idx="76">
                  <c:v>2076</c:v>
                </c:pt>
                <c:pt idx="77">
                  <c:v>2077</c:v>
                </c:pt>
                <c:pt idx="78">
                  <c:v>2078</c:v>
                </c:pt>
                <c:pt idx="79">
                  <c:v>2079</c:v>
                </c:pt>
                <c:pt idx="80">
                  <c:v>2080</c:v>
                </c:pt>
                <c:pt idx="81">
                  <c:v>2081</c:v>
                </c:pt>
                <c:pt idx="82">
                  <c:v>2082</c:v>
                </c:pt>
                <c:pt idx="83">
                  <c:v>2083</c:v>
                </c:pt>
                <c:pt idx="84">
                  <c:v>2084</c:v>
                </c:pt>
                <c:pt idx="85">
                  <c:v>2085</c:v>
                </c:pt>
                <c:pt idx="86">
                  <c:v>2086</c:v>
                </c:pt>
                <c:pt idx="87">
                  <c:v>2087</c:v>
                </c:pt>
                <c:pt idx="88">
                  <c:v>2088</c:v>
                </c:pt>
                <c:pt idx="89">
                  <c:v>2089</c:v>
                </c:pt>
                <c:pt idx="90">
                  <c:v>2090</c:v>
                </c:pt>
                <c:pt idx="91">
                  <c:v>2091</c:v>
                </c:pt>
                <c:pt idx="92">
                  <c:v>2092</c:v>
                </c:pt>
                <c:pt idx="93">
                  <c:v>2093</c:v>
                </c:pt>
                <c:pt idx="94">
                  <c:v>2094</c:v>
                </c:pt>
                <c:pt idx="95">
                  <c:v>2095</c:v>
                </c:pt>
                <c:pt idx="96">
                  <c:v>2096</c:v>
                </c:pt>
                <c:pt idx="97">
                  <c:v>2097</c:v>
                </c:pt>
                <c:pt idx="98">
                  <c:v>2098</c:v>
                </c:pt>
                <c:pt idx="99">
                  <c:v>2099</c:v>
                </c:pt>
                <c:pt idx="100">
                  <c:v>2100</c:v>
                </c:pt>
              </c:numCache>
            </c:numRef>
          </c:cat>
          <c:val>
            <c:numRef>
              <c:f>modello!$U$254:$U$354</c:f>
              <c:numCache>
                <c:ptCount val="101"/>
                <c:pt idx="0">
                  <c:v>368.59467783313977</c:v>
                </c:pt>
                <c:pt idx="1">
                  <c:v>370.28614067403623</c:v>
                </c:pt>
                <c:pt idx="2">
                  <c:v>371.963810805841</c:v>
                </c:pt>
                <c:pt idx="3">
                  <c:v>373.6290728589014</c:v>
                </c:pt>
                <c:pt idx="4">
                  <c:v>375.2833309181937</c:v>
                </c:pt>
                <c:pt idx="5">
                  <c:v>376.92727206584277</c:v>
                </c:pt>
                <c:pt idx="6">
                  <c:v>378.561890741384</c:v>
                </c:pt>
                <c:pt idx="7">
                  <c:v>380.1896276432212</c:v>
                </c:pt>
                <c:pt idx="8">
                  <c:v>381.8074707253367</c:v>
                </c:pt>
                <c:pt idx="9">
                  <c:v>383.41646772576695</c:v>
                </c:pt>
                <c:pt idx="10">
                  <c:v>385.01915101036576</c:v>
                </c:pt>
                <c:pt idx="11">
                  <c:v>386.614954288518</c:v>
                </c:pt>
                <c:pt idx="12">
                  <c:v>388.2032481257779</c:v>
                </c:pt>
                <c:pt idx="13">
                  <c:v>389.7852188774587</c:v>
                </c:pt>
                <c:pt idx="14">
                  <c:v>391.36145226983444</c:v>
                </c:pt>
                <c:pt idx="15">
                  <c:v>392.9315564910456</c:v>
                </c:pt>
                <c:pt idx="16">
                  <c:v>394.4957809149635</c:v>
                </c:pt>
                <c:pt idx="17">
                  <c:v>396.05473614630125</c:v>
                </c:pt>
                <c:pt idx="18">
                  <c:v>397.60848225084936</c:v>
                </c:pt>
                <c:pt idx="19">
                  <c:v>399.15700765934133</c:v>
                </c:pt>
                <c:pt idx="20">
                  <c:v>400.7006479997592</c:v>
                </c:pt>
                <c:pt idx="21">
                  <c:v>402.2396458388746</c:v>
                </c:pt>
                <c:pt idx="22">
                  <c:v>403.77403537728776</c:v>
                </c:pt>
                <c:pt idx="23">
                  <c:v>405.30396523374435</c:v>
                </c:pt>
                <c:pt idx="24">
                  <c:v>406.82966315066216</c:v>
                </c:pt>
                <c:pt idx="25">
                  <c:v>408.3512412314365</c:v>
                </c:pt>
                <c:pt idx="26">
                  <c:v>409.86878836216465</c:v>
                </c:pt>
                <c:pt idx="27">
                  <c:v>411.38246565738893</c:v>
                </c:pt>
                <c:pt idx="28">
                  <c:v>412.89241275325895</c:v>
                </c:pt>
                <c:pt idx="29">
                  <c:v>414.39871949111665</c:v>
                </c:pt>
                <c:pt idx="30">
                  <c:v>415.90149897278326</c:v>
                </c:pt>
                <c:pt idx="31">
                  <c:v>417.40088028361237</c:v>
                </c:pt>
                <c:pt idx="32">
                  <c:v>418.896962919141</c:v>
                </c:pt>
                <c:pt idx="33">
                  <c:v>420.3898391715809</c:v>
                </c:pt>
                <c:pt idx="34">
                  <c:v>421.8796169382402</c:v>
                </c:pt>
                <c:pt idx="35">
                  <c:v>423.3663963105718</c:v>
                </c:pt>
                <c:pt idx="36">
                  <c:v>424.8502633521866</c:v>
                </c:pt>
                <c:pt idx="37">
                  <c:v>426.33130886166936</c:v>
                </c:pt>
                <c:pt idx="38">
                  <c:v>427.80962567207337</c:v>
                </c:pt>
                <c:pt idx="39">
                  <c:v>429.2852970226889</c:v>
                </c:pt>
                <c:pt idx="40">
                  <c:v>430.7584032791989</c:v>
                </c:pt>
                <c:pt idx="41">
                  <c:v>432.2290276050719</c:v>
                </c:pt>
                <c:pt idx="42">
                  <c:v>433.697249195404</c:v>
                </c:pt>
                <c:pt idx="43">
                  <c:v>435.16314221904975</c:v>
                </c:pt>
                <c:pt idx="44">
                  <c:v>436.62678121856345</c:v>
                </c:pt>
                <c:pt idx="45">
                  <c:v>438.0882398179546</c:v>
                </c:pt>
                <c:pt idx="46">
                  <c:v>439.5475875654054</c:v>
                </c:pt>
                <c:pt idx="47">
                  <c:v>441.0048923254878</c:v>
                </c:pt>
                <c:pt idx="48">
                  <c:v>442.4602216894088</c:v>
                </c:pt>
                <c:pt idx="49">
                  <c:v>443.9136407825939</c:v>
                </c:pt>
                <c:pt idx="50">
                  <c:v>445.3652123009256</c:v>
                </c:pt>
                <c:pt idx="51">
                  <c:v>446.81499821424194</c:v>
                </c:pt>
                <c:pt idx="52">
                  <c:v>448.263059117374</c:v>
                </c:pt>
                <c:pt idx="53">
                  <c:v>449.709453367967</c:v>
                </c:pt>
                <c:pt idx="54">
                  <c:v>451.15423804807523</c:v>
                </c:pt>
                <c:pt idx="55">
                  <c:v>452.59746927884447</c:v>
                </c:pt>
                <c:pt idx="56">
                  <c:v>454.03920145925605</c:v>
                </c:pt>
                <c:pt idx="57">
                  <c:v>455.4794874633941</c:v>
                </c:pt>
                <c:pt idx="58">
                  <c:v>456.9183792121859</c:v>
                </c:pt>
                <c:pt idx="59">
                  <c:v>458.3559273500331</c:v>
                </c:pt>
                <c:pt idx="60">
                  <c:v>459.7921810415813</c:v>
                </c:pt>
                <c:pt idx="61">
                  <c:v>461.2271883911464</c:v>
                </c:pt>
                <c:pt idx="62">
                  <c:v>462.6609964806878</c:v>
                </c:pt>
                <c:pt idx="63">
                  <c:v>464.0936511046989</c:v>
                </c:pt>
                <c:pt idx="64">
                  <c:v>465.5251969378925</c:v>
                </c:pt>
                <c:pt idx="65">
                  <c:v>466.955677731326</c:v>
                </c:pt>
                <c:pt idx="66">
                  <c:v>468.3851361567903</c:v>
                </c:pt>
                <c:pt idx="67">
                  <c:v>469.8136137945055</c:v>
                </c:pt>
                <c:pt idx="68">
                  <c:v>471.24115132534496</c:v>
                </c:pt>
                <c:pt idx="69">
                  <c:v>472.66778850966597</c:v>
                </c:pt>
                <c:pt idx="70">
                  <c:v>474.0935641065351</c:v>
                </c:pt>
                <c:pt idx="71">
                  <c:v>475.51851598937924</c:v>
                </c:pt>
                <c:pt idx="72">
                  <c:v>476.9426812105658</c:v>
                </c:pt>
                <c:pt idx="73">
                  <c:v>478.3660959326505</c:v>
                </c:pt>
                <c:pt idx="74">
                  <c:v>479.78879546542316</c:v>
                </c:pt>
                <c:pt idx="75">
                  <c:v>481.21081435561524</c:v>
                </c:pt>
                <c:pt idx="76">
                  <c:v>482.6321863628983</c:v>
                </c:pt>
                <c:pt idx="77">
                  <c:v>484.0529444494052</c:v>
                </c:pt>
                <c:pt idx="78">
                  <c:v>485.47312085353155</c:v>
                </c:pt>
                <c:pt idx="79">
                  <c:v>486.89274710786196</c:v>
                </c:pt>
                <c:pt idx="80">
                  <c:v>488.3118540153953</c:v>
                </c:pt>
                <c:pt idx="81">
                  <c:v>489.73047169221763</c:v>
                </c:pt>
                <c:pt idx="82">
                  <c:v>491.14862960854566</c:v>
                </c:pt>
                <c:pt idx="83">
                  <c:v>492.5663565741089</c:v>
                </c:pt>
                <c:pt idx="84">
                  <c:v>493.9836807531695</c:v>
                </c:pt>
                <c:pt idx="85">
                  <c:v>495.4006297091265</c:v>
                </c:pt>
                <c:pt idx="86">
                  <c:v>496.81723040712075</c:v>
                </c:pt>
                <c:pt idx="87">
                  <c:v>498.2335092131936</c:v>
                </c:pt>
                <c:pt idx="88">
                  <c:v>499.6494919297826</c:v>
                </c:pt>
                <c:pt idx="89">
                  <c:v>501.0652038131888</c:v>
                </c:pt>
                <c:pt idx="90">
                  <c:v>502.4806695688573</c:v>
                </c:pt>
                <c:pt idx="91">
                  <c:v>503.8959133733418</c:v>
                </c:pt>
                <c:pt idx="92">
                  <c:v>505.31095889950524</c:v>
                </c:pt>
                <c:pt idx="93">
                  <c:v>506.7258293158763</c:v>
                </c:pt>
                <c:pt idx="94">
                  <c:v>508.14054729678435</c:v>
                </c:pt>
                <c:pt idx="95">
                  <c:v>509.55513504795465</c:v>
                </c:pt>
                <c:pt idx="96">
                  <c:v>510.9696143129813</c:v>
                </c:pt>
                <c:pt idx="97">
                  <c:v>512.3840063763079</c:v>
                </c:pt>
                <c:pt idx="98">
                  <c:v>513.7983320841912</c:v>
                </c:pt>
                <c:pt idx="99">
                  <c:v>515.2126118575068</c:v>
                </c:pt>
                <c:pt idx="100">
                  <c:v>516.6268656925474</c:v>
                </c:pt>
              </c:numCache>
            </c:numRef>
          </c:val>
          <c:smooth val="0"/>
        </c:ser>
        <c:marker val="1"/>
        <c:axId val="582647"/>
        <c:axId val="5243824"/>
      </c:lineChart>
      <c:catAx>
        <c:axId val="582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43824"/>
        <c:crosses val="autoZero"/>
        <c:auto val="1"/>
        <c:lblOffset val="100"/>
        <c:tickLblSkip val="10"/>
        <c:noMultiLvlLbl val="0"/>
      </c:catAx>
      <c:valAx>
        <c:axId val="5243824"/>
        <c:scaling>
          <c:orientation val="minMax"/>
          <c:max val="700"/>
          <c:min val="2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2647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Concentrazione N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 (ppb)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3"/>
          <c:w val="0.984"/>
          <c:h val="0.90075"/>
        </c:manualLayout>
      </c:layout>
      <c:lineChart>
        <c:grouping val="standard"/>
        <c:varyColors val="0"/>
        <c:ser>
          <c:idx val="0"/>
          <c:order val="0"/>
          <c:tx>
            <c:v>N20 ppb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modello!$F$254:$F$354</c:f>
              <c:numCache>
                <c:ptCount val="10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  <c:pt idx="51">
                  <c:v>2051</c:v>
                </c:pt>
                <c:pt idx="52">
                  <c:v>2052</c:v>
                </c:pt>
                <c:pt idx="53">
                  <c:v>2053</c:v>
                </c:pt>
                <c:pt idx="54">
                  <c:v>2054</c:v>
                </c:pt>
                <c:pt idx="55">
                  <c:v>2055</c:v>
                </c:pt>
                <c:pt idx="56">
                  <c:v>2056</c:v>
                </c:pt>
                <c:pt idx="57">
                  <c:v>2057</c:v>
                </c:pt>
                <c:pt idx="58">
                  <c:v>2058</c:v>
                </c:pt>
                <c:pt idx="59">
                  <c:v>2059</c:v>
                </c:pt>
                <c:pt idx="60">
                  <c:v>2060</c:v>
                </c:pt>
                <c:pt idx="61">
                  <c:v>2061</c:v>
                </c:pt>
                <c:pt idx="62">
                  <c:v>2062</c:v>
                </c:pt>
                <c:pt idx="63">
                  <c:v>2063</c:v>
                </c:pt>
                <c:pt idx="64">
                  <c:v>2064</c:v>
                </c:pt>
                <c:pt idx="65">
                  <c:v>2065</c:v>
                </c:pt>
                <c:pt idx="66">
                  <c:v>2066</c:v>
                </c:pt>
                <c:pt idx="67">
                  <c:v>2067</c:v>
                </c:pt>
                <c:pt idx="68">
                  <c:v>2068</c:v>
                </c:pt>
                <c:pt idx="69">
                  <c:v>2069</c:v>
                </c:pt>
                <c:pt idx="70">
                  <c:v>2070</c:v>
                </c:pt>
                <c:pt idx="71">
                  <c:v>2071</c:v>
                </c:pt>
                <c:pt idx="72">
                  <c:v>2072</c:v>
                </c:pt>
                <c:pt idx="73">
                  <c:v>2073</c:v>
                </c:pt>
                <c:pt idx="74">
                  <c:v>2074</c:v>
                </c:pt>
                <c:pt idx="75">
                  <c:v>2075</c:v>
                </c:pt>
                <c:pt idx="76">
                  <c:v>2076</c:v>
                </c:pt>
                <c:pt idx="77">
                  <c:v>2077</c:v>
                </c:pt>
                <c:pt idx="78">
                  <c:v>2078</c:v>
                </c:pt>
                <c:pt idx="79">
                  <c:v>2079</c:v>
                </c:pt>
                <c:pt idx="80">
                  <c:v>2080</c:v>
                </c:pt>
                <c:pt idx="81">
                  <c:v>2081</c:v>
                </c:pt>
                <c:pt idx="82">
                  <c:v>2082</c:v>
                </c:pt>
                <c:pt idx="83">
                  <c:v>2083</c:v>
                </c:pt>
                <c:pt idx="84">
                  <c:v>2084</c:v>
                </c:pt>
                <c:pt idx="85">
                  <c:v>2085</c:v>
                </c:pt>
                <c:pt idx="86">
                  <c:v>2086</c:v>
                </c:pt>
                <c:pt idx="87">
                  <c:v>2087</c:v>
                </c:pt>
                <c:pt idx="88">
                  <c:v>2088</c:v>
                </c:pt>
                <c:pt idx="89">
                  <c:v>2089</c:v>
                </c:pt>
                <c:pt idx="90">
                  <c:v>2090</c:v>
                </c:pt>
                <c:pt idx="91">
                  <c:v>2091</c:v>
                </c:pt>
                <c:pt idx="92">
                  <c:v>2092</c:v>
                </c:pt>
                <c:pt idx="93">
                  <c:v>2093</c:v>
                </c:pt>
                <c:pt idx="94">
                  <c:v>2094</c:v>
                </c:pt>
                <c:pt idx="95">
                  <c:v>2095</c:v>
                </c:pt>
                <c:pt idx="96">
                  <c:v>2096</c:v>
                </c:pt>
                <c:pt idx="97">
                  <c:v>2097</c:v>
                </c:pt>
                <c:pt idx="98">
                  <c:v>2098</c:v>
                </c:pt>
                <c:pt idx="99">
                  <c:v>2099</c:v>
                </c:pt>
                <c:pt idx="100">
                  <c:v>2100</c:v>
                </c:pt>
              </c:numCache>
            </c:numRef>
          </c:cat>
          <c:val>
            <c:numRef>
              <c:f>modello!$AM$254:$AM$354</c:f>
              <c:numCache>
                <c:ptCount val="101"/>
                <c:pt idx="0">
                  <c:v>316</c:v>
                </c:pt>
                <c:pt idx="1">
                  <c:v>316.79696666666666</c:v>
                </c:pt>
                <c:pt idx="2">
                  <c:v>317.5872919444444</c:v>
                </c:pt>
                <c:pt idx="3">
                  <c:v>318.3710311782407</c:v>
                </c:pt>
                <c:pt idx="4">
                  <c:v>319.14823925175534</c:v>
                </c:pt>
                <c:pt idx="5">
                  <c:v>319.91897059132407</c:v>
                </c:pt>
                <c:pt idx="6">
                  <c:v>320.6832791697297</c:v>
                </c:pt>
                <c:pt idx="7">
                  <c:v>321.441218509982</c:v>
                </c:pt>
                <c:pt idx="8">
                  <c:v>322.19284168906546</c:v>
                </c:pt>
                <c:pt idx="9">
                  <c:v>322.93820134165657</c:v>
                </c:pt>
                <c:pt idx="10">
                  <c:v>323.6773496638094</c:v>
                </c:pt>
                <c:pt idx="11">
                  <c:v>324.410338416611</c:v>
                </c:pt>
                <c:pt idx="12">
                  <c:v>325.1372189298059</c:v>
                </c:pt>
                <c:pt idx="13">
                  <c:v>325.85804210539084</c:v>
                </c:pt>
                <c:pt idx="14">
                  <c:v>326.57285842117926</c:v>
                </c:pt>
                <c:pt idx="15">
                  <c:v>327.2817179343361</c:v>
                </c:pt>
                <c:pt idx="16">
                  <c:v>327.9846702848833</c:v>
                </c:pt>
                <c:pt idx="17">
                  <c:v>328.6817646991759</c:v>
                </c:pt>
                <c:pt idx="18">
                  <c:v>329.37304999334947</c:v>
                </c:pt>
                <c:pt idx="19">
                  <c:v>330.05857457673824</c:v>
                </c:pt>
                <c:pt idx="20">
                  <c:v>330.7383864552654</c:v>
                </c:pt>
                <c:pt idx="21">
                  <c:v>331.41253323480487</c:v>
                </c:pt>
                <c:pt idx="22">
                  <c:v>332.0810621245148</c:v>
                </c:pt>
                <c:pt idx="23">
                  <c:v>332.74401994014386</c:v>
                </c:pt>
                <c:pt idx="24">
                  <c:v>333.40145310730935</c:v>
                </c:pt>
                <c:pt idx="25">
                  <c:v>334.0534076647484</c:v>
                </c:pt>
                <c:pt idx="26">
                  <c:v>334.6999292675422</c:v>
                </c:pt>
                <c:pt idx="27">
                  <c:v>335.3410631903127</c:v>
                </c:pt>
                <c:pt idx="28">
                  <c:v>335.97685433039345</c:v>
                </c:pt>
                <c:pt idx="29">
                  <c:v>336.6073472109735</c:v>
                </c:pt>
                <c:pt idx="30">
                  <c:v>337.2325859842154</c:v>
                </c:pt>
                <c:pt idx="31">
                  <c:v>337.85261443434695</c:v>
                </c:pt>
                <c:pt idx="32">
                  <c:v>338.4674759807274</c:v>
                </c:pt>
                <c:pt idx="33">
                  <c:v>339.077213680888</c:v>
                </c:pt>
                <c:pt idx="34">
                  <c:v>339.6818702335473</c:v>
                </c:pt>
                <c:pt idx="35">
                  <c:v>340.28148798160106</c:v>
                </c:pt>
                <c:pt idx="36">
                  <c:v>340.87610891508774</c:v>
                </c:pt>
                <c:pt idx="37">
                  <c:v>341.4657746741287</c:v>
                </c:pt>
                <c:pt idx="38">
                  <c:v>342.05052655184426</c:v>
                </c:pt>
                <c:pt idx="39">
                  <c:v>342.63040549724553</c:v>
                </c:pt>
                <c:pt idx="40">
                  <c:v>343.20545211810185</c:v>
                </c:pt>
                <c:pt idx="41">
                  <c:v>343.77570668378434</c:v>
                </c:pt>
                <c:pt idx="42">
                  <c:v>344.3412091280861</c:v>
                </c:pt>
                <c:pt idx="43">
                  <c:v>344.9019990520187</c:v>
                </c:pt>
                <c:pt idx="44">
                  <c:v>345.4581157265852</c:v>
                </c:pt>
                <c:pt idx="45">
                  <c:v>346.00959809553035</c:v>
                </c:pt>
                <c:pt idx="46">
                  <c:v>346.5564847780676</c:v>
                </c:pt>
                <c:pt idx="47">
                  <c:v>347.0988140715837</c:v>
                </c:pt>
                <c:pt idx="48">
                  <c:v>347.6366239543205</c:v>
                </c:pt>
                <c:pt idx="49">
                  <c:v>348.1699520880345</c:v>
                </c:pt>
                <c:pt idx="50">
                  <c:v>348.6988358206342</c:v>
                </c:pt>
                <c:pt idx="51">
                  <c:v>349.2233121887956</c:v>
                </c:pt>
                <c:pt idx="52">
                  <c:v>349.74341792055566</c:v>
                </c:pt>
                <c:pt idx="53">
                  <c:v>350.25918943788434</c:v>
                </c:pt>
                <c:pt idx="54">
                  <c:v>350.7706628592353</c:v>
                </c:pt>
                <c:pt idx="55">
                  <c:v>351.277874002075</c:v>
                </c:pt>
                <c:pt idx="56">
                  <c:v>351.78085838539107</c:v>
                </c:pt>
                <c:pt idx="57">
                  <c:v>352.2796512321795</c:v>
                </c:pt>
                <c:pt idx="58">
                  <c:v>352.77428747191135</c:v>
                </c:pt>
                <c:pt idx="59">
                  <c:v>353.26480174297876</c:v>
                </c:pt>
                <c:pt idx="60">
                  <c:v>353.7512283951206</c:v>
                </c:pt>
                <c:pt idx="61">
                  <c:v>354.2336014918279</c:v>
                </c:pt>
                <c:pt idx="62">
                  <c:v>354.71195481272935</c:v>
                </c:pt>
                <c:pt idx="63">
                  <c:v>355.1863218559566</c:v>
                </c:pt>
                <c:pt idx="64">
                  <c:v>355.6567358404903</c:v>
                </c:pt>
                <c:pt idx="65">
                  <c:v>356.1232297084862</c:v>
                </c:pt>
                <c:pt idx="66">
                  <c:v>356.5858361275821</c:v>
                </c:pt>
                <c:pt idx="67">
                  <c:v>357.0445874931856</c:v>
                </c:pt>
                <c:pt idx="68">
                  <c:v>357.49951593074235</c:v>
                </c:pt>
                <c:pt idx="69">
                  <c:v>357.95065329798615</c:v>
                </c:pt>
                <c:pt idx="70">
                  <c:v>358.3980311871696</c:v>
                </c:pt>
                <c:pt idx="71">
                  <c:v>358.8416809272765</c:v>
                </c:pt>
                <c:pt idx="72">
                  <c:v>359.2816335862159</c:v>
                </c:pt>
                <c:pt idx="73">
                  <c:v>359.71791997299744</c:v>
                </c:pt>
                <c:pt idx="74">
                  <c:v>360.1505706398891</c:v>
                </c:pt>
                <c:pt idx="75">
                  <c:v>360.5796158845567</c:v>
                </c:pt>
                <c:pt idx="76">
                  <c:v>361.0050857521854</c:v>
                </c:pt>
                <c:pt idx="77">
                  <c:v>361.42701003758384</c:v>
                </c:pt>
                <c:pt idx="78">
                  <c:v>361.84541828727066</c:v>
                </c:pt>
                <c:pt idx="79">
                  <c:v>362.2603398015434</c:v>
                </c:pt>
                <c:pt idx="80">
                  <c:v>362.67180363653057</c:v>
                </c:pt>
                <c:pt idx="81">
                  <c:v>363.07983860622613</c:v>
                </c:pt>
                <c:pt idx="82">
                  <c:v>363.4844732845076</c:v>
                </c:pt>
                <c:pt idx="83">
                  <c:v>363.8857360071367</c:v>
                </c:pt>
                <c:pt idx="84">
                  <c:v>364.2836548737439</c:v>
                </c:pt>
                <c:pt idx="85">
                  <c:v>364.67825774979605</c:v>
                </c:pt>
                <c:pt idx="86">
                  <c:v>365.06957226854774</c:v>
                </c:pt>
                <c:pt idx="87">
                  <c:v>365.45762583297653</c:v>
                </c:pt>
                <c:pt idx="88">
                  <c:v>365.84244561770174</c:v>
                </c:pt>
                <c:pt idx="89">
                  <c:v>366.22405857088756</c:v>
                </c:pt>
                <c:pt idx="90">
                  <c:v>366.6024914161302</c:v>
                </c:pt>
                <c:pt idx="91">
                  <c:v>366.9777706543291</c:v>
                </c:pt>
                <c:pt idx="92">
                  <c:v>367.349922565543</c:v>
                </c:pt>
                <c:pt idx="93">
                  <c:v>367.71897321083014</c:v>
                </c:pt>
                <c:pt idx="94">
                  <c:v>368.0849484340732</c:v>
                </c:pt>
                <c:pt idx="95">
                  <c:v>368.44787386378925</c:v>
                </c:pt>
                <c:pt idx="96">
                  <c:v>368.8077749149243</c:v>
                </c:pt>
                <c:pt idx="97">
                  <c:v>369.1646767906333</c:v>
                </c:pt>
                <c:pt idx="98">
                  <c:v>369.51860448404466</c:v>
                </c:pt>
                <c:pt idx="99">
                  <c:v>369.86958278001094</c:v>
                </c:pt>
                <c:pt idx="100">
                  <c:v>370.2176362568442</c:v>
                </c:pt>
              </c:numCache>
            </c:numRef>
          </c:val>
          <c:smooth val="0"/>
        </c:ser>
        <c:marker val="1"/>
        <c:axId val="47194417"/>
        <c:axId val="22096570"/>
      </c:lineChart>
      <c:catAx>
        <c:axId val="47194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096570"/>
        <c:crosses val="autoZero"/>
        <c:auto val="1"/>
        <c:lblOffset val="100"/>
        <c:tickLblSkip val="10"/>
        <c:noMultiLvlLbl val="0"/>
      </c:catAx>
      <c:valAx>
        <c:axId val="22096570"/>
        <c:scaling>
          <c:orientation val="minMax"/>
          <c:max val="500"/>
          <c:min val="3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1944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Concentrazione CH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(ppb)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16"/>
          <c:w val="0.90225"/>
          <c:h val="0.868"/>
        </c:manualLayout>
      </c:layout>
      <c:lineChart>
        <c:grouping val="standard"/>
        <c:varyColors val="0"/>
        <c:ser>
          <c:idx val="0"/>
          <c:order val="0"/>
          <c:tx>
            <c:v>CH4 ppb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modello!$F$254:$F$354</c:f>
              <c:numCache>
                <c:ptCount val="10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  <c:pt idx="51">
                  <c:v>2051</c:v>
                </c:pt>
                <c:pt idx="52">
                  <c:v>2052</c:v>
                </c:pt>
                <c:pt idx="53">
                  <c:v>2053</c:v>
                </c:pt>
                <c:pt idx="54">
                  <c:v>2054</c:v>
                </c:pt>
                <c:pt idx="55">
                  <c:v>2055</c:v>
                </c:pt>
                <c:pt idx="56">
                  <c:v>2056</c:v>
                </c:pt>
                <c:pt idx="57">
                  <c:v>2057</c:v>
                </c:pt>
                <c:pt idx="58">
                  <c:v>2058</c:v>
                </c:pt>
                <c:pt idx="59">
                  <c:v>2059</c:v>
                </c:pt>
                <c:pt idx="60">
                  <c:v>2060</c:v>
                </c:pt>
                <c:pt idx="61">
                  <c:v>2061</c:v>
                </c:pt>
                <c:pt idx="62">
                  <c:v>2062</c:v>
                </c:pt>
                <c:pt idx="63">
                  <c:v>2063</c:v>
                </c:pt>
                <c:pt idx="64">
                  <c:v>2064</c:v>
                </c:pt>
                <c:pt idx="65">
                  <c:v>2065</c:v>
                </c:pt>
                <c:pt idx="66">
                  <c:v>2066</c:v>
                </c:pt>
                <c:pt idx="67">
                  <c:v>2067</c:v>
                </c:pt>
                <c:pt idx="68">
                  <c:v>2068</c:v>
                </c:pt>
                <c:pt idx="69">
                  <c:v>2069</c:v>
                </c:pt>
                <c:pt idx="70">
                  <c:v>2070</c:v>
                </c:pt>
                <c:pt idx="71">
                  <c:v>2071</c:v>
                </c:pt>
                <c:pt idx="72">
                  <c:v>2072</c:v>
                </c:pt>
                <c:pt idx="73">
                  <c:v>2073</c:v>
                </c:pt>
                <c:pt idx="74">
                  <c:v>2074</c:v>
                </c:pt>
                <c:pt idx="75">
                  <c:v>2075</c:v>
                </c:pt>
                <c:pt idx="76">
                  <c:v>2076</c:v>
                </c:pt>
                <c:pt idx="77">
                  <c:v>2077</c:v>
                </c:pt>
                <c:pt idx="78">
                  <c:v>2078</c:v>
                </c:pt>
                <c:pt idx="79">
                  <c:v>2079</c:v>
                </c:pt>
                <c:pt idx="80">
                  <c:v>2080</c:v>
                </c:pt>
                <c:pt idx="81">
                  <c:v>2081</c:v>
                </c:pt>
                <c:pt idx="82">
                  <c:v>2082</c:v>
                </c:pt>
                <c:pt idx="83">
                  <c:v>2083</c:v>
                </c:pt>
                <c:pt idx="84">
                  <c:v>2084</c:v>
                </c:pt>
                <c:pt idx="85">
                  <c:v>2085</c:v>
                </c:pt>
                <c:pt idx="86">
                  <c:v>2086</c:v>
                </c:pt>
                <c:pt idx="87">
                  <c:v>2087</c:v>
                </c:pt>
                <c:pt idx="88">
                  <c:v>2088</c:v>
                </c:pt>
                <c:pt idx="89">
                  <c:v>2089</c:v>
                </c:pt>
                <c:pt idx="90">
                  <c:v>2090</c:v>
                </c:pt>
                <c:pt idx="91">
                  <c:v>2091</c:v>
                </c:pt>
                <c:pt idx="92">
                  <c:v>2092</c:v>
                </c:pt>
                <c:pt idx="93">
                  <c:v>2093</c:v>
                </c:pt>
                <c:pt idx="94">
                  <c:v>2094</c:v>
                </c:pt>
                <c:pt idx="95">
                  <c:v>2095</c:v>
                </c:pt>
                <c:pt idx="96">
                  <c:v>2096</c:v>
                </c:pt>
                <c:pt idx="97">
                  <c:v>2097</c:v>
                </c:pt>
                <c:pt idx="98">
                  <c:v>2098</c:v>
                </c:pt>
                <c:pt idx="99">
                  <c:v>2099</c:v>
                </c:pt>
                <c:pt idx="100">
                  <c:v>2100</c:v>
                </c:pt>
              </c:numCache>
            </c:numRef>
          </c:cat>
          <c:val>
            <c:numRef>
              <c:f>modello!$AF$254:$AF$354</c:f>
              <c:numCache>
                <c:ptCount val="101"/>
                <c:pt idx="0">
                  <c:v>1759.34</c:v>
                </c:pt>
                <c:pt idx="1">
                  <c:v>1770.3414186780592</c:v>
                </c:pt>
                <c:pt idx="2">
                  <c:v>1780.4014113587587</c:v>
                </c:pt>
                <c:pt idx="3">
                  <c:v>1789.6018956721273</c:v>
                </c:pt>
                <c:pt idx="4">
                  <c:v>1798.0174328538162</c:v>
                </c:pt>
                <c:pt idx="5">
                  <c:v>1805.71592719947</c:v>
                </c:pt>
                <c:pt idx="6">
                  <c:v>1812.7592523674025</c:v>
                </c:pt>
                <c:pt idx="7">
                  <c:v>1819.2038133147953</c:v>
                </c:pt>
                <c:pt idx="8">
                  <c:v>1825.1010514068978</c:v>
                </c:pt>
                <c:pt idx="9">
                  <c:v>1830.497899201015</c:v>
                </c:pt>
                <c:pt idx="10">
                  <c:v>1835.4371905374555</c:v>
                </c:pt>
                <c:pt idx="11">
                  <c:v>1839.9580308367451</c:v>
                </c:pt>
                <c:pt idx="12">
                  <c:v>1844.0961318814877</c:v>
                </c:pt>
                <c:pt idx="13">
                  <c:v>1847.8841148325366</c:v>
                </c:pt>
                <c:pt idx="14">
                  <c:v>1851.3517847767903</c:v>
                </c:pt>
                <c:pt idx="15">
                  <c:v>1854.5263797151938</c:v>
                </c:pt>
                <c:pt idx="16">
                  <c:v>1857.4327965640496</c:v>
                </c:pt>
                <c:pt idx="17">
                  <c:v>1860.0937964520745</c:v>
                </c:pt>
                <c:pt idx="18">
                  <c:v>1862.5301913428455</c:v>
                </c:pt>
                <c:pt idx="19">
                  <c:v>1864.7610137916547</c:v>
                </c:pt>
                <c:pt idx="20">
                  <c:v>1866.8036714525974</c:v>
                </c:pt>
                <c:pt idx="21">
                  <c:v>1868.6740877820118</c:v>
                </c:pt>
                <c:pt idx="22">
                  <c:v>1870.3868302348828</c:v>
                </c:pt>
                <c:pt idx="23">
                  <c:v>1871.9552271187356</c:v>
                </c:pt>
                <c:pt idx="24">
                  <c:v>1873.391474152559</c:v>
                </c:pt>
                <c:pt idx="25">
                  <c:v>1874.7067316744246</c:v>
                </c:pt>
                <c:pt idx="26">
                  <c:v>1875.9112133490291</c:v>
                </c:pt>
                <c:pt idx="27">
                  <c:v>1877.0142671439528</c:v>
                </c:pt>
                <c:pt idx="28">
                  <c:v>1878.024449269763</c:v>
                </c:pt>
                <c:pt idx="29">
                  <c:v>1878.9495917131449</c:v>
                </c:pt>
                <c:pt idx="30">
                  <c:v>1879.796863933103</c:v>
                </c:pt>
                <c:pt idx="31">
                  <c:v>1880.5728292371548</c:v>
                </c:pt>
                <c:pt idx="32">
                  <c:v>1881.2834963066512</c:v>
                </c:pt>
                <c:pt idx="33">
                  <c:v>1881.9343662973074</c:v>
                </c:pt>
                <c:pt idx="34">
                  <c:v>1882.5304759022054</c:v>
                </c:pt>
                <c:pt idx="35">
                  <c:v>1883.0764367294514</c:v>
                </c:pt>
                <c:pt idx="36">
                  <c:v>1883.57647131498</c:v>
                </c:pt>
                <c:pt idx="37">
                  <c:v>1884.034446062295</c:v>
                </c:pt>
                <c:pt idx="38">
                  <c:v>1884.4539013749534</c:v>
                </c:pt>
                <c:pt idx="39">
                  <c:v>1884.8380792240246</c:v>
                </c:pt>
                <c:pt idx="40">
                  <c:v>1885.1899483713792</c:v>
                </c:pt>
                <c:pt idx="41">
                  <c:v>1885.512227450238</c:v>
                </c:pt>
                <c:pt idx="42">
                  <c:v>1885.8074060867677</c:v>
                </c:pt>
                <c:pt idx="43">
                  <c:v>1886.0777642304593</c:v>
                </c:pt>
                <c:pt idx="44">
                  <c:v>1886.3253898464295</c:v>
                </c:pt>
                <c:pt idx="45">
                  <c:v>1886.5521951094913</c:v>
                </c:pt>
                <c:pt idx="46">
                  <c:v>1886.759931227733</c:v>
                </c:pt>
                <c:pt idx="47">
                  <c:v>1886.9502020123182</c:v>
                </c:pt>
                <c:pt idx="48">
                  <c:v>1887.1244763001603</c:v>
                </c:pt>
                <c:pt idx="49">
                  <c:v>1887.2840993269515</c:v>
                </c:pt>
                <c:pt idx="50">
                  <c:v>1887.4303031396682</c:v>
                </c:pt>
                <c:pt idx="51">
                  <c:v>1887.5642161300307</c:v>
                </c:pt>
                <c:pt idx="52">
                  <c:v>1887.6868717634284</c:v>
                </c:pt>
                <c:pt idx="53">
                  <c:v>1887.7992165714627</c:v>
                </c:pt>
                <c:pt idx="54">
                  <c:v>1887.9021174704349</c:v>
                </c:pt>
                <c:pt idx="55">
                  <c:v>1887.9963684628085</c:v>
                </c:pt>
                <c:pt idx="56">
                  <c:v>1888.0826967738135</c:v>
                </c:pt>
                <c:pt idx="57">
                  <c:v>1888.1617684709306</c:v>
                </c:pt>
                <c:pt idx="58">
                  <c:v>1888.2341936099344</c:v>
                </c:pt>
                <c:pt idx="59">
                  <c:v>1888.3005309474738</c:v>
                </c:pt>
                <c:pt idx="60">
                  <c:v>1888.3612922567718</c:v>
                </c:pt>
                <c:pt idx="61">
                  <c:v>1888.4169462799325</c:v>
                </c:pt>
                <c:pt idx="62">
                  <c:v>1888.467922347505</c:v>
                </c:pt>
                <c:pt idx="63">
                  <c:v>1888.514613693362</c:v>
                </c:pt>
                <c:pt idx="64">
                  <c:v>1888.5573804905753</c:v>
                </c:pt>
                <c:pt idx="65">
                  <c:v>1888.5965526318037</c:v>
                </c:pt>
                <c:pt idx="66">
                  <c:v>1888.6324322757182</c:v>
                </c:pt>
                <c:pt idx="67">
                  <c:v>1888.6652961791754</c:v>
                </c:pt>
                <c:pt idx="68">
                  <c:v>1888.6953978331803</c:v>
                </c:pt>
                <c:pt idx="69">
                  <c:v>1888.7229694191658</c:v>
                </c:pt>
                <c:pt idx="70">
                  <c:v>1888.7482236007133</c:v>
                </c:pt>
                <c:pt idx="71">
                  <c:v>1888.7713551645695</c:v>
                </c:pt>
                <c:pt idx="72">
                  <c:v>1888.792542523644</c:v>
                </c:pt>
                <c:pt idx="73">
                  <c:v>1888.8119490936022</c:v>
                </c:pt>
                <c:pt idx="74">
                  <c:v>1888.8297245536926</c:v>
                </c:pt>
                <c:pt idx="75">
                  <c:v>1888.8460060015475</c:v>
                </c:pt>
                <c:pt idx="76">
                  <c:v>1888.860919010878</c:v>
                </c:pt>
                <c:pt idx="77">
                  <c:v>1888.8745786002335</c:v>
                </c:pt>
                <c:pt idx="78">
                  <c:v>1888.8870901203054</c:v>
                </c:pt>
                <c:pt idx="79">
                  <c:v>1888.8985500666274</c:v>
                </c:pt>
                <c:pt idx="80">
                  <c:v>1888.909046823948</c:v>
                </c:pt>
                <c:pt idx="81">
                  <c:v>1888.9186613480194</c:v>
                </c:pt>
                <c:pt idx="82">
                  <c:v>1888.9274677900687</c:v>
                </c:pt>
                <c:pt idx="83">
                  <c:v>1888.9355340687691</c:v>
                </c:pt>
                <c:pt idx="84">
                  <c:v>1888.9429223941286</c:v>
                </c:pt>
                <c:pt idx="85">
                  <c:v>1888.9496897473352</c:v>
                </c:pt>
                <c:pt idx="86">
                  <c:v>1888.955888320267</c:v>
                </c:pt>
                <c:pt idx="87">
                  <c:v>1888.9615659180533</c:v>
                </c:pt>
                <c:pt idx="88">
                  <c:v>1888.9667663277987</c:v>
                </c:pt>
                <c:pt idx="89">
                  <c:v>1888.971529656309</c:v>
                </c:pt>
                <c:pt idx="90">
                  <c:v>1888.9758926394315</c:v>
                </c:pt>
                <c:pt idx="91">
                  <c:v>1888.97988892539</c:v>
                </c:pt>
                <c:pt idx="92">
                  <c:v>1888.983549334305</c:v>
                </c:pt>
                <c:pt idx="93">
                  <c:v>1888.9869020959002</c:v>
                </c:pt>
                <c:pt idx="94">
                  <c:v>1888.989973067226</c:v>
                </c:pt>
                <c:pt idx="95">
                  <c:v>1888.9927859320853</c:v>
                </c:pt>
                <c:pt idx="96">
                  <c:v>1888.995362383695</c:v>
                </c:pt>
                <c:pt idx="97">
                  <c:v>1888.9977222919943</c:v>
                </c:pt>
                <c:pt idx="98">
                  <c:v>1888.999883856891</c:v>
                </c:pt>
                <c:pt idx="99">
                  <c:v>1889.0018637486266</c:v>
                </c:pt>
                <c:pt idx="100">
                  <c:v>1889.0036772363433</c:v>
                </c:pt>
              </c:numCache>
            </c:numRef>
          </c:val>
          <c:smooth val="0"/>
        </c:ser>
        <c:marker val="1"/>
        <c:axId val="64651403"/>
        <c:axId val="44991716"/>
      </c:lineChart>
      <c:catAx>
        <c:axId val="64651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991716"/>
        <c:crosses val="autoZero"/>
        <c:auto val="1"/>
        <c:lblOffset val="100"/>
        <c:tickLblSkip val="10"/>
        <c:noMultiLvlLbl val="0"/>
      </c:catAx>
      <c:valAx>
        <c:axId val="449917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6514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85725</xdr:colOff>
      <xdr:row>21</xdr:row>
      <xdr:rowOff>0</xdr:rowOff>
    </xdr:from>
    <xdr:ext cx="76200" cy="228600"/>
    <xdr:sp>
      <xdr:nvSpPr>
        <xdr:cNvPr id="1" name="TextBox 1"/>
        <xdr:cNvSpPr txBox="1">
          <a:spLocks noChangeArrowheads="1"/>
        </xdr:cNvSpPr>
      </xdr:nvSpPr>
      <xdr:spPr>
        <a:xfrm>
          <a:off x="1981200" y="39243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47625</xdr:colOff>
      <xdr:row>10</xdr:row>
      <xdr:rowOff>47625</xdr:rowOff>
    </xdr:from>
    <xdr:to>
      <xdr:col>7</xdr:col>
      <xdr:colOff>590550</xdr:colOff>
      <xdr:row>20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625" y="1990725"/>
          <a:ext cx="5781675" cy="1924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Potete provare a stimare quale saranno nel 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2100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le concentrazioni di CO</a:t>
          </a:r>
          <a:r>
            <a:rPr lang="en-US" cap="none" sz="1000" b="0" i="0" u="none" baseline="-25000">
              <a:solidFill>
                <a:srgbClr val="008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, N</a:t>
          </a:r>
          <a:r>
            <a:rPr lang="en-US" cap="none" sz="1000" b="0" i="0" u="none" baseline="-25000">
              <a:solidFill>
                <a:srgbClr val="008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0, CH</a:t>
          </a:r>
          <a:r>
            <a:rPr lang="en-US" cap="none" sz="1000" b="0" i="0" u="none" baseline="-25000">
              <a:solidFill>
                <a:srgbClr val="008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e l'aumento (rispetto al 2000) della temperatura media globale terrestre nei seguenti casi:.
a) tutte le emissioni (gas serra e aerosol) rimangono costanti ai valori del 2000
b) le emissioni di tutti i gas serra e di aerosol crescono dell'1% ogni anno
c) le emissioni di tutti i gas serra crescono dell'1% ogni anno mentre quelle degli aereosol rimangono come ai valori del 2000
d) le emissioni di gas serra diminuiscono del'1% ogni anno mentre quelle degli aereosol rimangono costanti ai valori del 2000
e) diminuiscono del'1% ogni anno solo le emissioni di anidride acrbonica mentre le altre rimangono costanti ai valori del 2000</a:t>
          </a:r>
        </a:p>
      </xdr:txBody>
    </xdr:sp>
    <xdr:clientData/>
  </xdr:twoCellAnchor>
  <xdr:twoCellAnchor>
    <xdr:from>
      <xdr:col>2</xdr:col>
      <xdr:colOff>285750</xdr:colOff>
      <xdr:row>40</xdr:row>
      <xdr:rowOff>152400</xdr:rowOff>
    </xdr:from>
    <xdr:to>
      <xdr:col>3</xdr:col>
      <xdr:colOff>438150</xdr:colOff>
      <xdr:row>44</xdr:row>
      <xdr:rowOff>47625</xdr:rowOff>
    </xdr:to>
    <xdr:sp>
      <xdr:nvSpPr>
        <xdr:cNvPr id="3" name="AutoShape 3"/>
        <xdr:cNvSpPr>
          <a:spLocks/>
        </xdr:cNvSpPr>
      </xdr:nvSpPr>
      <xdr:spPr>
        <a:xfrm>
          <a:off x="2181225" y="7324725"/>
          <a:ext cx="790575" cy="723900"/>
        </a:xfrm>
        <a:prstGeom prst="rightArrow">
          <a:avLst>
            <a:gd name="adj1" fmla="val 17087"/>
            <a:gd name="adj2" fmla="val -23685"/>
          </a:avLst>
        </a:prstGeom>
        <a:solidFill>
          <a:srgbClr val="FF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FFFFFF"/>
              </a:solidFill>
            </a:rPr>
            <a:t>modello</a:t>
          </a:r>
        </a:p>
      </xdr:txBody>
    </xdr:sp>
    <xdr:clientData/>
  </xdr:twoCellAnchor>
  <xdr:twoCellAnchor>
    <xdr:from>
      <xdr:col>0</xdr:col>
      <xdr:colOff>104775</xdr:colOff>
      <xdr:row>39</xdr:row>
      <xdr:rowOff>66675</xdr:rowOff>
    </xdr:from>
    <xdr:to>
      <xdr:col>2</xdr:col>
      <xdr:colOff>219075</xdr:colOff>
      <xdr:row>45</xdr:row>
      <xdr:rowOff>104775</xdr:rowOff>
    </xdr:to>
    <xdr:sp>
      <xdr:nvSpPr>
        <xdr:cNvPr id="4" name="Rectangle 4"/>
        <xdr:cNvSpPr>
          <a:spLocks/>
        </xdr:cNvSpPr>
      </xdr:nvSpPr>
      <xdr:spPr>
        <a:xfrm>
          <a:off x="104775" y="7077075"/>
          <a:ext cx="2009775" cy="1209675"/>
        </a:xfrm>
        <a:prstGeom prst="rect">
          <a:avLst/>
        </a:prstGeom>
        <a:noFill/>
        <a:ln w="2857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504825</xdr:colOff>
      <xdr:row>39</xdr:row>
      <xdr:rowOff>66675</xdr:rowOff>
    </xdr:from>
    <xdr:to>
      <xdr:col>9</xdr:col>
      <xdr:colOff>523875</xdr:colOff>
      <xdr:row>45</xdr:row>
      <xdr:rowOff>133350</xdr:rowOff>
    </xdr:to>
    <xdr:sp>
      <xdr:nvSpPr>
        <xdr:cNvPr id="5" name="Rectangle 5"/>
        <xdr:cNvSpPr>
          <a:spLocks/>
        </xdr:cNvSpPr>
      </xdr:nvSpPr>
      <xdr:spPr>
        <a:xfrm>
          <a:off x="3038475" y="7077075"/>
          <a:ext cx="4171950" cy="1238250"/>
        </a:xfrm>
        <a:prstGeom prst="rect">
          <a:avLst/>
        </a:prstGeom>
        <a:noFill/>
        <a:ln w="2857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</xdr:col>
      <xdr:colOff>19050</xdr:colOff>
      <xdr:row>99</xdr:row>
      <xdr:rowOff>0</xdr:rowOff>
    </xdr:from>
    <xdr:ext cx="76200" cy="228600"/>
    <xdr:sp>
      <xdr:nvSpPr>
        <xdr:cNvPr id="6" name="TextBox 6"/>
        <xdr:cNvSpPr txBox="1">
          <a:spLocks noChangeArrowheads="1"/>
        </xdr:cNvSpPr>
      </xdr:nvSpPr>
      <xdr:spPr>
        <a:xfrm>
          <a:off x="1914525" y="17516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57150</xdr:colOff>
      <xdr:row>1</xdr:row>
      <xdr:rowOff>85725</xdr:rowOff>
    </xdr:from>
    <xdr:ext cx="5438775" cy="1543050"/>
    <xdr:sp>
      <xdr:nvSpPr>
        <xdr:cNvPr id="7" name="TextBox 7"/>
        <xdr:cNvSpPr txBox="1">
          <a:spLocks noChangeArrowheads="1"/>
        </xdr:cNvSpPr>
      </xdr:nvSpPr>
      <xdr:spPr>
        <a:xfrm>
          <a:off x="57150" y="314325"/>
          <a:ext cx="5438775" cy="1543050"/>
        </a:xfrm>
        <a:prstGeom prst="rect">
          <a:avLst/>
        </a:prstGeom>
        <a:solidFill>
          <a:srgbClr val="C0C0C0">
            <a:alpha val="4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NOTA: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In questo file excel sono presenti 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diversi fogli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, come potete osservare dalle linguette che appaiono in basso all’area di lavoro. 
Gli esercizi sono presenti nei primi due fogli (6.1 e 6.2). 
Gli altri fogli, invece, riguardano il modello che utilizzerete: potete osservarli ma non modificarli! 
In particolare: il foglio "calcoli" contiene tutti i calcoli che il modello effettua mentre i fogli successivi contengono i risultati del modello sotto forma di grafico. Guardarli, dopo aver inserito i valori di ingresso del modello che vi interessano, può essere molto utile.
</a:t>
          </a:r>
          <a:r>
            <a:rPr lang="en-US" cap="none" sz="1000" b="0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Buon lavoro!</a:t>
          </a:r>
        </a:p>
      </xdr:txBody>
    </xdr:sp>
    <xdr:clientData/>
  </xdr:oneCellAnchor>
  <xdr:oneCellAnchor>
    <xdr:from>
      <xdr:col>5</xdr:col>
      <xdr:colOff>590550</xdr:colOff>
      <xdr:row>99</xdr:row>
      <xdr:rowOff>19050</xdr:rowOff>
    </xdr:from>
    <xdr:ext cx="76200" cy="228600"/>
    <xdr:sp>
      <xdr:nvSpPr>
        <xdr:cNvPr id="8" name="TextBox 8"/>
        <xdr:cNvSpPr txBox="1">
          <a:spLocks noChangeArrowheads="1"/>
        </xdr:cNvSpPr>
      </xdr:nvSpPr>
      <xdr:spPr>
        <a:xfrm>
          <a:off x="4476750" y="175355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533400</xdr:colOff>
      <xdr:row>94</xdr:row>
      <xdr:rowOff>152400</xdr:rowOff>
    </xdr:from>
    <xdr:ext cx="76200" cy="228600"/>
    <xdr:sp>
      <xdr:nvSpPr>
        <xdr:cNvPr id="9" name="TextBox 9"/>
        <xdr:cNvSpPr txBox="1">
          <a:spLocks noChangeArrowheads="1"/>
        </xdr:cNvSpPr>
      </xdr:nvSpPr>
      <xdr:spPr>
        <a:xfrm>
          <a:off x="3743325" y="168592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533400</xdr:colOff>
      <xdr:row>94</xdr:row>
      <xdr:rowOff>152400</xdr:rowOff>
    </xdr:from>
    <xdr:ext cx="76200" cy="228600"/>
    <xdr:sp>
      <xdr:nvSpPr>
        <xdr:cNvPr id="10" name="TextBox 10"/>
        <xdr:cNvSpPr txBox="1">
          <a:spLocks noChangeArrowheads="1"/>
        </xdr:cNvSpPr>
      </xdr:nvSpPr>
      <xdr:spPr>
        <a:xfrm>
          <a:off x="3743325" y="168592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533400</xdr:colOff>
      <xdr:row>94</xdr:row>
      <xdr:rowOff>152400</xdr:rowOff>
    </xdr:from>
    <xdr:ext cx="76200" cy="228600"/>
    <xdr:sp>
      <xdr:nvSpPr>
        <xdr:cNvPr id="11" name="TextBox 11"/>
        <xdr:cNvSpPr txBox="1">
          <a:spLocks noChangeArrowheads="1"/>
        </xdr:cNvSpPr>
      </xdr:nvSpPr>
      <xdr:spPr>
        <a:xfrm>
          <a:off x="4419600" y="168592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533400</xdr:colOff>
      <xdr:row>94</xdr:row>
      <xdr:rowOff>152400</xdr:rowOff>
    </xdr:from>
    <xdr:ext cx="76200" cy="228600"/>
    <xdr:sp>
      <xdr:nvSpPr>
        <xdr:cNvPr id="12" name="TextBox 12"/>
        <xdr:cNvSpPr txBox="1">
          <a:spLocks noChangeArrowheads="1"/>
        </xdr:cNvSpPr>
      </xdr:nvSpPr>
      <xdr:spPr>
        <a:xfrm>
          <a:off x="3743325" y="168592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533400</xdr:colOff>
      <xdr:row>98</xdr:row>
      <xdr:rowOff>152400</xdr:rowOff>
    </xdr:from>
    <xdr:ext cx="76200" cy="228600"/>
    <xdr:sp>
      <xdr:nvSpPr>
        <xdr:cNvPr id="13" name="TextBox 13"/>
        <xdr:cNvSpPr txBox="1">
          <a:spLocks noChangeArrowheads="1"/>
        </xdr:cNvSpPr>
      </xdr:nvSpPr>
      <xdr:spPr>
        <a:xfrm>
          <a:off x="6534150" y="175069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590550</xdr:colOff>
      <xdr:row>100</xdr:row>
      <xdr:rowOff>19050</xdr:rowOff>
    </xdr:from>
    <xdr:ext cx="76200" cy="228600"/>
    <xdr:sp>
      <xdr:nvSpPr>
        <xdr:cNvPr id="14" name="TextBox 14"/>
        <xdr:cNvSpPr txBox="1">
          <a:spLocks noChangeArrowheads="1"/>
        </xdr:cNvSpPr>
      </xdr:nvSpPr>
      <xdr:spPr>
        <a:xfrm>
          <a:off x="4476750" y="176974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590550</xdr:colOff>
      <xdr:row>100</xdr:row>
      <xdr:rowOff>19050</xdr:rowOff>
    </xdr:from>
    <xdr:ext cx="76200" cy="228600"/>
    <xdr:sp>
      <xdr:nvSpPr>
        <xdr:cNvPr id="15" name="TextBox 15"/>
        <xdr:cNvSpPr txBox="1">
          <a:spLocks noChangeArrowheads="1"/>
        </xdr:cNvSpPr>
      </xdr:nvSpPr>
      <xdr:spPr>
        <a:xfrm>
          <a:off x="4476750" y="176974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590550</xdr:colOff>
      <xdr:row>101</xdr:row>
      <xdr:rowOff>19050</xdr:rowOff>
    </xdr:from>
    <xdr:ext cx="76200" cy="228600"/>
    <xdr:sp>
      <xdr:nvSpPr>
        <xdr:cNvPr id="16" name="TextBox 16"/>
        <xdr:cNvSpPr txBox="1">
          <a:spLocks noChangeArrowheads="1"/>
        </xdr:cNvSpPr>
      </xdr:nvSpPr>
      <xdr:spPr>
        <a:xfrm>
          <a:off x="4476750" y="17859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76200</xdr:rowOff>
    </xdr:from>
    <xdr:to>
      <xdr:col>9</xdr:col>
      <xdr:colOff>238125</xdr:colOff>
      <xdr:row>26</xdr:row>
      <xdr:rowOff>114300</xdr:rowOff>
    </xdr:to>
    <xdr:graphicFrame>
      <xdr:nvGraphicFramePr>
        <xdr:cNvPr id="1" name="Grafico 1"/>
        <xdr:cNvGraphicFramePr/>
      </xdr:nvGraphicFramePr>
      <xdr:xfrm>
        <a:off x="95250" y="76200"/>
        <a:ext cx="554355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15</xdr:col>
      <xdr:colOff>200025</xdr:colOff>
      <xdr:row>26</xdr:row>
      <xdr:rowOff>161925</xdr:rowOff>
    </xdr:to>
    <xdr:graphicFrame>
      <xdr:nvGraphicFramePr>
        <xdr:cNvPr id="1" name="Grafico 1"/>
        <xdr:cNvGraphicFramePr/>
      </xdr:nvGraphicFramePr>
      <xdr:xfrm>
        <a:off x="57150" y="66675"/>
        <a:ext cx="9144000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15</xdr:col>
      <xdr:colOff>9525</xdr:colOff>
      <xdr:row>26</xdr:row>
      <xdr:rowOff>161925</xdr:rowOff>
    </xdr:to>
    <xdr:graphicFrame>
      <xdr:nvGraphicFramePr>
        <xdr:cNvPr id="1" name="Grafico 1"/>
        <xdr:cNvGraphicFramePr/>
      </xdr:nvGraphicFramePr>
      <xdr:xfrm>
        <a:off x="57150" y="57150"/>
        <a:ext cx="895350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95250</xdr:rowOff>
    </xdr:from>
    <xdr:to>
      <xdr:col>9</xdr:col>
      <xdr:colOff>581025</xdr:colOff>
      <xdr:row>29</xdr:row>
      <xdr:rowOff>123825</xdr:rowOff>
    </xdr:to>
    <xdr:graphicFrame>
      <xdr:nvGraphicFramePr>
        <xdr:cNvPr id="1" name="Grafico 1"/>
        <xdr:cNvGraphicFramePr/>
      </xdr:nvGraphicFramePr>
      <xdr:xfrm>
        <a:off x="104775" y="95250"/>
        <a:ext cx="58769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104775</xdr:rowOff>
    </xdr:from>
    <xdr:to>
      <xdr:col>9</xdr:col>
      <xdr:colOff>219075</xdr:colOff>
      <xdr:row>26</xdr:row>
      <xdr:rowOff>85725</xdr:rowOff>
    </xdr:to>
    <xdr:graphicFrame>
      <xdr:nvGraphicFramePr>
        <xdr:cNvPr id="1" name="Grafico 1"/>
        <xdr:cNvGraphicFramePr/>
      </xdr:nvGraphicFramePr>
      <xdr:xfrm>
        <a:off x="57150" y="104775"/>
        <a:ext cx="556260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114300</xdr:rowOff>
    </xdr:from>
    <xdr:to>
      <xdr:col>9</xdr:col>
      <xdr:colOff>581025</xdr:colOff>
      <xdr:row>27</xdr:row>
      <xdr:rowOff>9525</xdr:rowOff>
    </xdr:to>
    <xdr:graphicFrame>
      <xdr:nvGraphicFramePr>
        <xdr:cNvPr id="1" name="Grafico 2"/>
        <xdr:cNvGraphicFramePr/>
      </xdr:nvGraphicFramePr>
      <xdr:xfrm>
        <a:off x="57150" y="304800"/>
        <a:ext cx="59245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123825</xdr:rowOff>
    </xdr:from>
    <xdr:to>
      <xdr:col>10</xdr:col>
      <xdr:colOff>142875</xdr:colOff>
      <xdr:row>26</xdr:row>
      <xdr:rowOff>66675</xdr:rowOff>
    </xdr:to>
    <xdr:graphicFrame>
      <xdr:nvGraphicFramePr>
        <xdr:cNvPr id="1" name="Grafico 1"/>
        <xdr:cNvGraphicFramePr/>
      </xdr:nvGraphicFramePr>
      <xdr:xfrm>
        <a:off x="66675" y="123825"/>
        <a:ext cx="607695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"/>
  <sheetViews>
    <sheetView workbookViewId="0" topLeftCell="A71">
      <selection activeCell="M96" sqref="M96"/>
    </sheetView>
  </sheetViews>
  <sheetFormatPr defaultColWidth="9.140625" defaultRowHeight="15"/>
  <cols>
    <col min="1" max="1" width="11.8515625" style="55" customWidth="1"/>
    <col min="2" max="2" width="16.57421875" style="55" customWidth="1"/>
    <col min="3" max="3" width="9.57421875" style="55" customWidth="1"/>
    <col min="4" max="7" width="10.140625" style="55" customWidth="1"/>
    <col min="8" max="8" width="11.421875" style="55" customWidth="1"/>
    <col min="9" max="9" width="10.28125" style="55" customWidth="1"/>
    <col min="10" max="16384" width="9.00390625" style="55" customWidth="1"/>
  </cols>
  <sheetData>
    <row r="1" ht="18">
      <c r="A1" s="66" t="s">
        <v>115</v>
      </c>
    </row>
    <row r="2" ht="15" customHeight="1">
      <c r="A2" s="66"/>
    </row>
    <row r="3" ht="15" customHeight="1">
      <c r="A3" s="66"/>
    </row>
    <row r="4" ht="15" customHeight="1">
      <c r="A4" s="66"/>
    </row>
    <row r="5" ht="15" customHeight="1">
      <c r="A5" s="66"/>
    </row>
    <row r="6" ht="15" customHeight="1">
      <c r="A6" s="66"/>
    </row>
    <row r="7" ht="15" customHeight="1">
      <c r="A7" s="66"/>
    </row>
    <row r="8" ht="15" customHeight="1">
      <c r="A8" s="66"/>
    </row>
    <row r="9" ht="15" customHeight="1">
      <c r="A9" s="66"/>
    </row>
    <row r="10" ht="15" customHeight="1"/>
    <row r="11" ht="12.75"/>
    <row r="12" ht="14.25">
      <c r="A12" s="67"/>
    </row>
    <row r="13" ht="14.25">
      <c r="A13" s="67"/>
    </row>
    <row r="14" ht="14.25">
      <c r="A14" s="67"/>
    </row>
    <row r="15" ht="14.25">
      <c r="A15" s="67"/>
    </row>
    <row r="16" ht="14.25">
      <c r="A16" s="67"/>
    </row>
    <row r="17" ht="14.25">
      <c r="A17" s="67"/>
    </row>
    <row r="18" ht="14.25">
      <c r="A18" s="67"/>
    </row>
    <row r="19" ht="14.25">
      <c r="A19" s="67"/>
    </row>
    <row r="20" s="50" customFormat="1" ht="15"/>
    <row r="21" ht="14.25">
      <c r="A21" s="67"/>
    </row>
    <row r="22" ht="12.75"/>
    <row r="23" ht="12.75">
      <c r="A23" s="71" t="s">
        <v>89</v>
      </c>
    </row>
    <row r="24" ht="13.5" customHeight="1">
      <c r="A24" s="70" t="s">
        <v>103</v>
      </c>
    </row>
    <row r="25" ht="13.5" customHeight="1">
      <c r="A25" s="70" t="s">
        <v>86</v>
      </c>
    </row>
    <row r="26" ht="12.75">
      <c r="A26" s="70" t="s">
        <v>87</v>
      </c>
    </row>
    <row r="27" ht="12.75">
      <c r="A27" s="65" t="s">
        <v>88</v>
      </c>
    </row>
    <row r="28" ht="12.75">
      <c r="A28" s="65"/>
    </row>
    <row r="29" ht="12.75">
      <c r="A29" s="65" t="s">
        <v>102</v>
      </c>
    </row>
    <row r="30" spans="2:5" ht="15.75">
      <c r="B30" s="79" t="s">
        <v>100</v>
      </c>
      <c r="C30" s="81" t="s">
        <v>97</v>
      </c>
      <c r="D30" s="75">
        <v>368.59</v>
      </c>
      <c r="E30" s="65" t="s">
        <v>92</v>
      </c>
    </row>
    <row r="31" spans="2:5" ht="15.75">
      <c r="B31" s="79"/>
      <c r="C31" s="81" t="s">
        <v>98</v>
      </c>
      <c r="D31" s="75">
        <v>316</v>
      </c>
      <c r="E31" s="65" t="s">
        <v>93</v>
      </c>
    </row>
    <row r="32" spans="2:5" ht="15.75">
      <c r="B32" s="79"/>
      <c r="C32" s="81" t="s">
        <v>99</v>
      </c>
      <c r="D32" s="75">
        <v>1759.34</v>
      </c>
      <c r="E32" s="65" t="s">
        <v>93</v>
      </c>
    </row>
    <row r="33" spans="2:5" ht="15.75">
      <c r="B33" s="80" t="s">
        <v>101</v>
      </c>
      <c r="C33" s="81" t="s">
        <v>97</v>
      </c>
      <c r="D33" s="76">
        <f>3.13+0.43</f>
        <v>3.56</v>
      </c>
      <c r="E33" s="77" t="s">
        <v>8</v>
      </c>
    </row>
    <row r="34" spans="1:5" ht="12.75">
      <c r="A34" s="78"/>
      <c r="C34" s="78" t="s">
        <v>91</v>
      </c>
      <c r="D34" s="76">
        <v>67.8</v>
      </c>
      <c r="E34" s="77" t="s">
        <v>67</v>
      </c>
    </row>
    <row r="35" ht="12.75">
      <c r="A35" s="65"/>
    </row>
    <row r="36" ht="12.75"/>
    <row r="37" ht="12.75">
      <c r="A37" s="86" t="s">
        <v>114</v>
      </c>
    </row>
    <row r="38" ht="12.75"/>
    <row r="39" spans="1:16" ht="12.75">
      <c r="A39" s="74" t="s">
        <v>96</v>
      </c>
      <c r="E39" s="74" t="s">
        <v>95</v>
      </c>
      <c r="K39" s="82"/>
      <c r="L39" s="87"/>
      <c r="M39" s="82"/>
      <c r="N39" s="82"/>
      <c r="O39" s="82"/>
      <c r="P39" s="82"/>
    </row>
    <row r="40" spans="11:16" ht="12.75">
      <c r="K40" s="82"/>
      <c r="L40" s="82"/>
      <c r="M40" s="82"/>
      <c r="N40" s="82"/>
      <c r="O40" s="82"/>
      <c r="P40" s="82"/>
    </row>
    <row r="41" spans="1:16" ht="13.5" thickBot="1">
      <c r="A41" s="72"/>
      <c r="B41" s="97" t="s">
        <v>113</v>
      </c>
      <c r="H41" s="69" t="s">
        <v>108</v>
      </c>
      <c r="I41" s="69" t="s">
        <v>109</v>
      </c>
      <c r="J41" s="88"/>
      <c r="M41" s="82"/>
      <c r="N41" s="82"/>
      <c r="O41" s="82"/>
      <c r="P41" s="82"/>
    </row>
    <row r="42" spans="1:16" ht="17.25" thickBot="1" thickTop="1">
      <c r="A42" s="73" t="s">
        <v>82</v>
      </c>
      <c r="B42" s="100">
        <v>0</v>
      </c>
      <c r="C42" s="64"/>
      <c r="E42" s="55" t="s">
        <v>83</v>
      </c>
      <c r="H42" s="101">
        <f>modello!$U$304</f>
        <v>445.3652123009256</v>
      </c>
      <c r="I42" s="101">
        <f>modello!$U$354</f>
        <v>516.6268656925474</v>
      </c>
      <c r="J42" s="55" t="s">
        <v>92</v>
      </c>
      <c r="M42" s="82"/>
      <c r="N42" s="82"/>
      <c r="O42" s="89"/>
      <c r="P42" s="82"/>
    </row>
    <row r="43" spans="1:16" ht="17.25" thickBot="1" thickTop="1">
      <c r="A43" s="68" t="s">
        <v>90</v>
      </c>
      <c r="B43" s="100">
        <v>0</v>
      </c>
      <c r="E43" s="55" t="s">
        <v>84</v>
      </c>
      <c r="H43" s="101">
        <f>modello!$AM$304</f>
        <v>348.6988358206342</v>
      </c>
      <c r="I43" s="101">
        <f>modello!$AM$354</f>
        <v>370.2176362568442</v>
      </c>
      <c r="J43" s="55" t="s">
        <v>93</v>
      </c>
      <c r="M43" s="82"/>
      <c r="N43" s="82"/>
      <c r="O43" s="89"/>
      <c r="P43" s="82"/>
    </row>
    <row r="44" spans="1:16" ht="17.25" thickBot="1" thickTop="1">
      <c r="A44" s="68" t="s">
        <v>76</v>
      </c>
      <c r="B44" s="100">
        <v>0</v>
      </c>
      <c r="E44" s="55" t="s">
        <v>85</v>
      </c>
      <c r="H44" s="101">
        <f>modello!$AF$304</f>
        <v>1887.4303031396682</v>
      </c>
      <c r="I44" s="101">
        <f>modello!$AF$354</f>
        <v>1889.0036772363433</v>
      </c>
      <c r="J44" s="55" t="s">
        <v>93</v>
      </c>
      <c r="M44" s="82"/>
      <c r="N44" s="82"/>
      <c r="O44" s="89"/>
      <c r="P44" s="82"/>
    </row>
    <row r="45" spans="5:16" ht="14.25" thickBot="1" thickTop="1">
      <c r="E45" s="55" t="s">
        <v>81</v>
      </c>
      <c r="F45" s="58"/>
      <c r="H45" s="102">
        <f>modello!$BG$304</f>
        <v>0.9135837657835328</v>
      </c>
      <c r="I45" s="102">
        <f>modello!$BG$354</f>
        <v>1.6555126714455877</v>
      </c>
      <c r="J45" s="55" t="s">
        <v>94</v>
      </c>
      <c r="M45" s="90"/>
      <c r="N45" s="82"/>
      <c r="O45" s="91"/>
      <c r="P45" s="82"/>
    </row>
    <row r="46" spans="11:16" ht="13.5" thickTop="1">
      <c r="K46" s="82"/>
      <c r="L46" s="82"/>
      <c r="M46" s="82"/>
      <c r="N46" s="82"/>
      <c r="O46" s="82"/>
      <c r="P46" s="82"/>
    </row>
    <row r="47" spans="11:16" ht="12.75">
      <c r="K47" s="82"/>
      <c r="L47" s="82"/>
      <c r="M47" s="82"/>
      <c r="N47" s="82"/>
      <c r="O47" s="82"/>
      <c r="P47" s="82"/>
    </row>
    <row r="48" spans="1:19" ht="15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92"/>
      <c r="L48" s="93"/>
      <c r="M48" s="93"/>
      <c r="N48" s="93"/>
      <c r="O48" s="93"/>
      <c r="P48" s="93"/>
      <c r="Q48" s="93"/>
      <c r="R48" s="94"/>
      <c r="S48" s="82"/>
    </row>
    <row r="49" spans="1:19" ht="15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103"/>
      <c r="L49" s="104"/>
      <c r="M49" s="104"/>
      <c r="N49" s="104"/>
      <c r="O49" s="105"/>
      <c r="P49" s="106"/>
      <c r="Q49" s="106"/>
      <c r="R49" s="107"/>
      <c r="S49" s="82"/>
    </row>
    <row r="50" spans="1:19" ht="15">
      <c r="A50" s="82"/>
      <c r="B50" s="82"/>
      <c r="C50" s="82"/>
      <c r="D50" s="108"/>
      <c r="E50" s="108"/>
      <c r="F50" s="108"/>
      <c r="G50" s="108"/>
      <c r="H50" s="108"/>
      <c r="I50" s="82"/>
      <c r="J50" s="82"/>
      <c r="K50" s="109"/>
      <c r="L50" s="110"/>
      <c r="M50" s="110"/>
      <c r="N50" s="110"/>
      <c r="O50" s="110"/>
      <c r="P50" s="111"/>
      <c r="Q50" s="106"/>
      <c r="R50" s="107"/>
      <c r="S50" s="82"/>
    </row>
    <row r="51" spans="1:19" ht="15">
      <c r="A51" s="82"/>
      <c r="B51" s="82"/>
      <c r="C51" s="95"/>
      <c r="D51" s="112"/>
      <c r="E51" s="112"/>
      <c r="F51" s="112"/>
      <c r="G51" s="112"/>
      <c r="H51" s="112"/>
      <c r="I51" s="82"/>
      <c r="J51" s="82"/>
      <c r="K51" s="113"/>
      <c r="L51" s="114"/>
      <c r="M51" s="114"/>
      <c r="N51" s="114"/>
      <c r="O51" s="114"/>
      <c r="P51" s="106"/>
      <c r="Q51" s="106"/>
      <c r="R51" s="107"/>
      <c r="S51" s="82"/>
    </row>
    <row r="52" spans="1:19" ht="15">
      <c r="A52" s="82"/>
      <c r="B52" s="82"/>
      <c r="C52" s="98"/>
      <c r="D52" s="112"/>
      <c r="E52" s="112"/>
      <c r="F52" s="112"/>
      <c r="G52" s="112"/>
      <c r="H52" s="112"/>
      <c r="I52" s="82"/>
      <c r="J52" s="82"/>
      <c r="K52" s="107"/>
      <c r="L52" s="115"/>
      <c r="M52" s="115"/>
      <c r="N52" s="115"/>
      <c r="O52" s="106"/>
      <c r="P52" s="106"/>
      <c r="Q52" s="106"/>
      <c r="R52" s="107"/>
      <c r="S52" s="82"/>
    </row>
    <row r="53" spans="1:19" ht="15">
      <c r="A53" s="82"/>
      <c r="B53" s="82"/>
      <c r="C53" s="98"/>
      <c r="D53" s="112"/>
      <c r="E53" s="112"/>
      <c r="F53" s="112"/>
      <c r="G53" s="112"/>
      <c r="H53" s="112"/>
      <c r="I53" s="82"/>
      <c r="J53" s="82"/>
      <c r="K53" s="107"/>
      <c r="L53" s="115"/>
      <c r="M53" s="115"/>
      <c r="N53" s="115"/>
      <c r="O53" s="107"/>
      <c r="P53" s="107"/>
      <c r="Q53" s="107"/>
      <c r="R53" s="107"/>
      <c r="S53" s="82"/>
    </row>
    <row r="54" spans="1:19" ht="15">
      <c r="A54" s="82"/>
      <c r="B54" s="82"/>
      <c r="C54" s="82"/>
      <c r="D54" s="116"/>
      <c r="E54" s="116"/>
      <c r="F54" s="116"/>
      <c r="G54" s="116"/>
      <c r="H54" s="116"/>
      <c r="I54" s="82"/>
      <c r="J54" s="82"/>
      <c r="K54" s="107"/>
      <c r="L54" s="115"/>
      <c r="M54" s="115"/>
      <c r="N54" s="115"/>
      <c r="O54" s="107"/>
      <c r="P54" s="107"/>
      <c r="Q54" s="107"/>
      <c r="R54" s="107"/>
      <c r="S54" s="82"/>
    </row>
    <row r="55" spans="1:19" ht="15">
      <c r="A55" s="82"/>
      <c r="B55" s="82"/>
      <c r="C55" s="82"/>
      <c r="D55" s="116"/>
      <c r="E55" s="116"/>
      <c r="F55" s="116"/>
      <c r="G55" s="116"/>
      <c r="H55" s="116"/>
      <c r="I55" s="82"/>
      <c r="J55" s="82"/>
      <c r="K55" s="107"/>
      <c r="L55" s="115"/>
      <c r="M55" s="115"/>
      <c r="N55" s="115"/>
      <c r="O55" s="107"/>
      <c r="P55" s="107"/>
      <c r="Q55" s="107"/>
      <c r="R55" s="107"/>
      <c r="S55" s="82"/>
    </row>
    <row r="56" spans="1:19" ht="15">
      <c r="A56" s="82"/>
      <c r="B56" s="82"/>
      <c r="C56" s="82"/>
      <c r="D56" s="116"/>
      <c r="E56" s="116"/>
      <c r="F56" s="116"/>
      <c r="G56" s="116"/>
      <c r="H56" s="116"/>
      <c r="I56" s="82"/>
      <c r="J56" s="82"/>
      <c r="K56" s="107"/>
      <c r="L56" s="115"/>
      <c r="M56" s="115"/>
      <c r="N56" s="115"/>
      <c r="O56" s="107"/>
      <c r="P56" s="107"/>
      <c r="Q56" s="107"/>
      <c r="R56" s="107"/>
      <c r="S56" s="82"/>
    </row>
    <row r="57" spans="1:19" ht="15">
      <c r="A57" s="82"/>
      <c r="B57" s="82"/>
      <c r="C57" s="82"/>
      <c r="D57" s="117"/>
      <c r="E57" s="117"/>
      <c r="F57" s="117"/>
      <c r="G57" s="117"/>
      <c r="H57" s="117"/>
      <c r="I57" s="82"/>
      <c r="J57" s="82"/>
      <c r="K57" s="107"/>
      <c r="L57" s="115"/>
      <c r="M57" s="115"/>
      <c r="N57" s="115"/>
      <c r="O57" s="107"/>
      <c r="P57" s="107"/>
      <c r="Q57" s="107"/>
      <c r="R57" s="107"/>
      <c r="S57" s="82"/>
    </row>
    <row r="58" spans="1:19" ht="15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107"/>
      <c r="L58" s="115"/>
      <c r="M58" s="115"/>
      <c r="N58" s="115"/>
      <c r="O58" s="107"/>
      <c r="P58" s="107"/>
      <c r="Q58" s="107"/>
      <c r="R58" s="107"/>
      <c r="S58" s="82"/>
    </row>
    <row r="59" spans="1:19" ht="15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107"/>
      <c r="L59" s="115"/>
      <c r="M59" s="115"/>
      <c r="N59" s="115"/>
      <c r="O59" s="107"/>
      <c r="P59" s="107"/>
      <c r="Q59" s="107"/>
      <c r="R59" s="107"/>
      <c r="S59" s="82"/>
    </row>
    <row r="60" spans="1:19" ht="15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107"/>
      <c r="L60" s="115"/>
      <c r="M60" s="115"/>
      <c r="N60" s="115"/>
      <c r="O60" s="107"/>
      <c r="P60" s="107"/>
      <c r="Q60" s="107"/>
      <c r="R60" s="107"/>
      <c r="S60" s="82"/>
    </row>
    <row r="61" spans="1:19" ht="15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107"/>
      <c r="L61" s="115"/>
      <c r="M61" s="115"/>
      <c r="N61" s="115"/>
      <c r="O61" s="107"/>
      <c r="P61" s="107"/>
      <c r="Q61" s="107"/>
      <c r="R61" s="107"/>
      <c r="S61" s="82"/>
    </row>
    <row r="62" spans="1:19" ht="15">
      <c r="A62" s="82"/>
      <c r="B62" s="82"/>
      <c r="C62" s="82"/>
      <c r="D62" s="82"/>
      <c r="E62" s="82"/>
      <c r="F62" s="99"/>
      <c r="G62" s="99"/>
      <c r="H62" s="118"/>
      <c r="I62" s="82"/>
      <c r="J62" s="82"/>
      <c r="K62" s="107"/>
      <c r="L62" s="115"/>
      <c r="M62" s="115"/>
      <c r="N62" s="115"/>
      <c r="O62" s="107"/>
      <c r="P62" s="107"/>
      <c r="Q62" s="107"/>
      <c r="R62" s="107"/>
      <c r="S62" s="82"/>
    </row>
    <row r="63" spans="1:19" ht="15">
      <c r="A63" s="82"/>
      <c r="B63" s="82"/>
      <c r="C63" s="82"/>
      <c r="D63" s="82"/>
      <c r="E63" s="82"/>
      <c r="F63" s="99"/>
      <c r="G63" s="99"/>
      <c r="H63" s="118"/>
      <c r="I63" s="82"/>
      <c r="J63" s="82"/>
      <c r="K63" s="107"/>
      <c r="L63" s="115"/>
      <c r="M63" s="115"/>
      <c r="N63" s="115"/>
      <c r="O63" s="107"/>
      <c r="P63" s="107"/>
      <c r="Q63" s="107"/>
      <c r="R63" s="107"/>
      <c r="S63" s="82"/>
    </row>
    <row r="64" spans="1:19" ht="15">
      <c r="A64" s="82"/>
      <c r="B64" s="82"/>
      <c r="C64" s="82"/>
      <c r="D64" s="82"/>
      <c r="E64" s="96"/>
      <c r="F64" s="96"/>
      <c r="G64" s="82"/>
      <c r="H64" s="82"/>
      <c r="I64" s="82"/>
      <c r="J64" s="82"/>
      <c r="K64" s="107"/>
      <c r="L64" s="115"/>
      <c r="M64" s="115"/>
      <c r="N64" s="115"/>
      <c r="O64" s="107"/>
      <c r="P64" s="107"/>
      <c r="Q64" s="107"/>
      <c r="R64" s="107"/>
      <c r="S64" s="82"/>
    </row>
    <row r="65" spans="1:19" ht="15">
      <c r="A65" s="82"/>
      <c r="B65" s="82"/>
      <c r="C65" s="82"/>
      <c r="D65" s="96"/>
      <c r="E65" s="96"/>
      <c r="F65" s="99"/>
      <c r="G65" s="99"/>
      <c r="H65" s="118"/>
      <c r="I65" s="82"/>
      <c r="J65" s="82"/>
      <c r="K65" s="107"/>
      <c r="L65" s="115"/>
      <c r="M65" s="115"/>
      <c r="N65" s="115"/>
      <c r="O65" s="107"/>
      <c r="P65" s="107"/>
      <c r="Q65" s="107"/>
      <c r="R65" s="107"/>
      <c r="S65" s="82"/>
    </row>
    <row r="66" spans="1:19" ht="12.75">
      <c r="A66" s="82"/>
      <c r="B66" s="82"/>
      <c r="C66" s="82"/>
      <c r="D66" s="82"/>
      <c r="E66" s="96"/>
      <c r="F66" s="96"/>
      <c r="G66" s="96"/>
      <c r="H66" s="82"/>
      <c r="I66" s="82"/>
      <c r="J66" s="82"/>
      <c r="K66" s="119"/>
      <c r="L66" s="119"/>
      <c r="M66" s="119"/>
      <c r="N66" s="119"/>
      <c r="O66" s="119"/>
      <c r="P66" s="119"/>
      <c r="Q66" s="119"/>
      <c r="R66" s="119"/>
      <c r="S66" s="82"/>
    </row>
    <row r="67" spans="1:19" ht="12.75">
      <c r="A67" s="82"/>
      <c r="B67" s="82"/>
      <c r="C67" s="82"/>
      <c r="D67" s="82"/>
      <c r="E67" s="96"/>
      <c r="F67" s="96"/>
      <c r="G67" s="96"/>
      <c r="H67" s="82"/>
      <c r="I67" s="82"/>
      <c r="J67" s="82"/>
      <c r="K67" s="119"/>
      <c r="L67" s="119"/>
      <c r="M67" s="119"/>
      <c r="N67" s="119"/>
      <c r="O67" s="119"/>
      <c r="P67" s="119"/>
      <c r="Q67" s="119"/>
      <c r="R67" s="119"/>
      <c r="S67" s="82"/>
    </row>
    <row r="68" spans="1:19" ht="12.75">
      <c r="A68" s="82"/>
      <c r="B68" s="82"/>
      <c r="C68" s="82"/>
      <c r="D68" s="82"/>
      <c r="E68" s="96"/>
      <c r="F68" s="96"/>
      <c r="G68" s="99"/>
      <c r="H68" s="118"/>
      <c r="I68" s="82"/>
      <c r="J68" s="82"/>
      <c r="K68" s="119"/>
      <c r="L68" s="119"/>
      <c r="M68" s="119"/>
      <c r="N68" s="119"/>
      <c r="O68" s="119"/>
      <c r="P68" s="119"/>
      <c r="Q68" s="119"/>
      <c r="R68" s="119"/>
      <c r="S68" s="82"/>
    </row>
    <row r="69" spans="1:19" ht="12.7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119"/>
      <c r="L69" s="119"/>
      <c r="M69" s="119"/>
      <c r="N69" s="119"/>
      <c r="O69" s="119"/>
      <c r="P69" s="119"/>
      <c r="Q69" s="119"/>
      <c r="R69" s="119"/>
      <c r="S69" s="82"/>
    </row>
    <row r="70" spans="1:19" ht="12.75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119"/>
      <c r="L70" s="119"/>
      <c r="M70" s="119"/>
      <c r="N70" s="119"/>
      <c r="O70" s="119"/>
      <c r="P70" s="119"/>
      <c r="Q70" s="119"/>
      <c r="R70" s="119"/>
      <c r="S70" s="82"/>
    </row>
    <row r="71" spans="1:19" ht="12.75">
      <c r="A71" s="82"/>
      <c r="B71" s="82"/>
      <c r="C71" s="82"/>
      <c r="D71" s="82"/>
      <c r="E71" s="82"/>
      <c r="F71" s="82"/>
      <c r="G71" s="99"/>
      <c r="H71" s="118"/>
      <c r="I71" s="82"/>
      <c r="J71" s="82"/>
      <c r="K71" s="119"/>
      <c r="L71" s="119"/>
      <c r="M71" s="119"/>
      <c r="N71" s="119"/>
      <c r="O71" s="119"/>
      <c r="P71" s="119"/>
      <c r="Q71" s="119"/>
      <c r="R71" s="119"/>
      <c r="S71" s="82"/>
    </row>
    <row r="72" spans="1:19" ht="12.75">
      <c r="A72" s="82"/>
      <c r="B72" s="82"/>
      <c r="C72" s="82"/>
      <c r="D72" s="82"/>
      <c r="E72" s="82"/>
      <c r="F72" s="82"/>
      <c r="G72" s="99"/>
      <c r="H72" s="118"/>
      <c r="I72" s="82"/>
      <c r="J72" s="82"/>
      <c r="K72" s="119"/>
      <c r="L72" s="119"/>
      <c r="M72" s="119"/>
      <c r="N72" s="119"/>
      <c r="O72" s="119"/>
      <c r="P72" s="119"/>
      <c r="Q72" s="119"/>
      <c r="R72" s="119"/>
      <c r="S72" s="82"/>
    </row>
    <row r="73" spans="1:19" ht="12.75">
      <c r="A73" s="82"/>
      <c r="B73" s="82"/>
      <c r="C73" s="82"/>
      <c r="D73" s="82"/>
      <c r="E73" s="82"/>
      <c r="F73" s="82"/>
      <c r="G73" s="99"/>
      <c r="H73" s="118"/>
      <c r="I73" s="82"/>
      <c r="J73" s="82"/>
      <c r="K73" s="119"/>
      <c r="L73" s="119"/>
      <c r="M73" s="119"/>
      <c r="N73" s="119"/>
      <c r="O73" s="119"/>
      <c r="P73" s="119"/>
      <c r="Q73" s="119"/>
      <c r="R73" s="119"/>
      <c r="S73" s="82"/>
    </row>
    <row r="74" spans="1:19" ht="12.75">
      <c r="A74" s="82"/>
      <c r="B74" s="82"/>
      <c r="C74" s="82"/>
      <c r="D74" s="82"/>
      <c r="E74" s="82"/>
      <c r="F74" s="99"/>
      <c r="G74" s="99"/>
      <c r="H74" s="118"/>
      <c r="I74" s="82"/>
      <c r="J74" s="82"/>
      <c r="K74" s="119"/>
      <c r="L74" s="119"/>
      <c r="M74" s="119"/>
      <c r="N74" s="119"/>
      <c r="O74" s="119"/>
      <c r="P74" s="119"/>
      <c r="Q74" s="119"/>
      <c r="R74" s="119"/>
      <c r="S74" s="82"/>
    </row>
    <row r="75" spans="1:19" ht="15">
      <c r="A75" s="120"/>
      <c r="B75" s="82"/>
      <c r="C75" s="82"/>
      <c r="D75" s="82"/>
      <c r="E75" s="82"/>
      <c r="F75" s="82"/>
      <c r="G75" s="82"/>
      <c r="H75" s="121"/>
      <c r="I75" s="82"/>
      <c r="J75" s="82"/>
      <c r="K75" s="119"/>
      <c r="L75" s="119"/>
      <c r="M75" s="119"/>
      <c r="N75" s="119"/>
      <c r="O75" s="119"/>
      <c r="P75" s="119"/>
      <c r="Q75" s="119"/>
      <c r="R75" s="119"/>
      <c r="S75" s="82"/>
    </row>
    <row r="76" spans="1:19" ht="12.75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119"/>
      <c r="L76" s="119"/>
      <c r="M76" s="119"/>
      <c r="N76" s="119"/>
      <c r="O76" s="119"/>
      <c r="P76" s="119"/>
      <c r="Q76" s="119"/>
      <c r="R76" s="119"/>
      <c r="S76" s="82"/>
    </row>
    <row r="77" spans="1:19" ht="12.75">
      <c r="A77" s="82"/>
      <c r="B77" s="82"/>
      <c r="C77" s="82"/>
      <c r="D77" s="82"/>
      <c r="E77" s="99"/>
      <c r="F77" s="99"/>
      <c r="G77" s="99"/>
      <c r="H77" s="118"/>
      <c r="I77" s="82"/>
      <c r="J77" s="82"/>
      <c r="K77" s="119"/>
      <c r="L77" s="119"/>
      <c r="M77" s="119"/>
      <c r="N77" s="119"/>
      <c r="O77" s="119"/>
      <c r="P77" s="119"/>
      <c r="Q77" s="119"/>
      <c r="R77" s="119"/>
      <c r="S77" s="82"/>
    </row>
    <row r="78" spans="1:19" ht="12.75">
      <c r="A78" s="82"/>
      <c r="B78" s="82"/>
      <c r="C78" s="82"/>
      <c r="D78" s="82"/>
      <c r="E78" s="99"/>
      <c r="F78" s="99"/>
      <c r="G78" s="99"/>
      <c r="H78" s="118"/>
      <c r="I78" s="82"/>
      <c r="J78" s="82"/>
      <c r="K78" s="119"/>
      <c r="L78" s="119"/>
      <c r="M78" s="119"/>
      <c r="N78" s="119"/>
      <c r="O78" s="119"/>
      <c r="P78" s="119"/>
      <c r="Q78" s="119"/>
      <c r="R78" s="119"/>
      <c r="S78" s="82"/>
    </row>
    <row r="79" spans="1:19" ht="12.75">
      <c r="A79" s="82"/>
      <c r="B79" s="82"/>
      <c r="C79" s="82"/>
      <c r="D79" s="82"/>
      <c r="E79" s="99"/>
      <c r="F79" s="99"/>
      <c r="G79" s="99"/>
      <c r="H79" s="118"/>
      <c r="I79" s="82"/>
      <c r="J79" s="82"/>
      <c r="K79" s="119"/>
      <c r="L79" s="119"/>
      <c r="M79" s="119"/>
      <c r="N79" s="119"/>
      <c r="O79" s="119"/>
      <c r="P79" s="119"/>
      <c r="Q79" s="119"/>
      <c r="R79" s="119"/>
      <c r="S79" s="82"/>
    </row>
    <row r="80" spans="1:19" ht="12.75">
      <c r="A80" s="82"/>
      <c r="B80" s="82"/>
      <c r="C80" s="82"/>
      <c r="D80" s="82"/>
      <c r="E80" s="99"/>
      <c r="F80" s="99"/>
      <c r="G80" s="99"/>
      <c r="H80" s="118"/>
      <c r="I80" s="82"/>
      <c r="J80" s="82"/>
      <c r="K80" s="119"/>
      <c r="L80" s="119"/>
      <c r="M80" s="119"/>
      <c r="N80" s="119"/>
      <c r="O80" s="119"/>
      <c r="P80" s="119"/>
      <c r="Q80" s="119"/>
      <c r="R80" s="119"/>
      <c r="S80" s="82"/>
    </row>
    <row r="81" spans="1:19" ht="12.75">
      <c r="A81" s="12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</row>
    <row r="82" spans="1:11" ht="12.75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</row>
    <row r="83" spans="1:11" ht="15.75">
      <c r="A83" s="123"/>
      <c r="B83" s="82"/>
      <c r="C83" s="82"/>
      <c r="D83" s="82"/>
      <c r="E83" s="82"/>
      <c r="F83" s="82"/>
      <c r="G83" s="82"/>
      <c r="H83" s="82"/>
      <c r="I83" s="82"/>
      <c r="J83" s="82"/>
      <c r="K83" s="82"/>
    </row>
    <row r="84" spans="1:11" ht="12.75">
      <c r="A84" s="124"/>
      <c r="B84" s="82"/>
      <c r="C84" s="82"/>
      <c r="D84" s="82"/>
      <c r="E84" s="82"/>
      <c r="F84" s="82"/>
      <c r="G84" s="82"/>
      <c r="H84" s="82"/>
      <c r="I84" s="82"/>
      <c r="J84" s="82"/>
      <c r="K84" s="82"/>
    </row>
    <row r="85" spans="1:11" ht="12.75">
      <c r="A85" s="125"/>
      <c r="B85" s="82"/>
      <c r="C85" s="82"/>
      <c r="D85" s="82"/>
      <c r="E85" s="82"/>
      <c r="F85" s="82"/>
      <c r="G85" s="82"/>
      <c r="H85" s="82"/>
      <c r="I85" s="82"/>
      <c r="J85" s="82"/>
      <c r="K85" s="82"/>
    </row>
    <row r="86" spans="1:11" ht="12.75">
      <c r="A86" s="125"/>
      <c r="B86" s="82"/>
      <c r="C86" s="82"/>
      <c r="D86" s="82"/>
      <c r="E86" s="82"/>
      <c r="F86" s="82"/>
      <c r="G86" s="82"/>
      <c r="H86" s="82"/>
      <c r="I86" s="82"/>
      <c r="J86" s="82"/>
      <c r="K86" s="82"/>
    </row>
    <row r="87" spans="1:11" ht="12.75">
      <c r="A87" s="125"/>
      <c r="B87" s="82"/>
      <c r="C87" s="82"/>
      <c r="D87" s="82"/>
      <c r="E87" s="82"/>
      <c r="F87" s="82"/>
      <c r="G87" s="82"/>
      <c r="H87" s="82"/>
      <c r="I87" s="82"/>
      <c r="J87" s="82"/>
      <c r="K87" s="82"/>
    </row>
    <row r="88" spans="1:11" ht="12.75">
      <c r="A88" s="124"/>
      <c r="B88" s="82"/>
      <c r="C88" s="82"/>
      <c r="D88" s="82"/>
      <c r="E88" s="82"/>
      <c r="F88" s="82"/>
      <c r="G88" s="82"/>
      <c r="H88" s="82"/>
      <c r="I88" s="82"/>
      <c r="J88" s="82"/>
      <c r="K88" s="82"/>
    </row>
    <row r="89" spans="1:11" ht="12.75">
      <c r="A89" s="124"/>
      <c r="B89" s="82"/>
      <c r="C89" s="82"/>
      <c r="D89" s="82"/>
      <c r="E89" s="82"/>
      <c r="F89" s="82"/>
      <c r="G89" s="82"/>
      <c r="H89" s="82"/>
      <c r="I89" s="82"/>
      <c r="J89" s="82"/>
      <c r="K89" s="82"/>
    </row>
    <row r="90" spans="1:11" ht="12.75">
      <c r="A90" s="124"/>
      <c r="B90" s="82"/>
      <c r="C90" s="82"/>
      <c r="D90" s="82"/>
      <c r="E90" s="82"/>
      <c r="F90" s="82"/>
      <c r="G90" s="82"/>
      <c r="H90" s="82"/>
      <c r="I90" s="82"/>
      <c r="J90" s="82"/>
      <c r="K90" s="82"/>
    </row>
    <row r="91" spans="1:11" ht="12.75">
      <c r="A91" s="124"/>
      <c r="B91" s="82"/>
      <c r="C91" s="82"/>
      <c r="D91" s="82"/>
      <c r="E91" s="82"/>
      <c r="F91" s="82"/>
      <c r="G91" s="82"/>
      <c r="H91" s="82"/>
      <c r="I91" s="82"/>
      <c r="J91" s="82"/>
      <c r="K91" s="82"/>
    </row>
    <row r="92" spans="1:11" ht="12.75">
      <c r="A92" s="82"/>
      <c r="B92" s="82"/>
      <c r="C92" s="126"/>
      <c r="D92" s="126"/>
      <c r="E92" s="126"/>
      <c r="F92" s="82"/>
      <c r="G92" s="82"/>
      <c r="H92" s="82"/>
      <c r="I92" s="82"/>
      <c r="J92" s="82"/>
      <c r="K92" s="82"/>
    </row>
    <row r="93" spans="1:11" ht="12.75">
      <c r="A93" s="82"/>
      <c r="B93" s="82"/>
      <c r="C93" s="95"/>
      <c r="D93" s="112"/>
      <c r="E93" s="112"/>
      <c r="F93" s="82"/>
      <c r="G93" s="76"/>
      <c r="H93" s="82"/>
      <c r="I93" s="82"/>
      <c r="J93" s="82"/>
      <c r="K93" s="82"/>
    </row>
    <row r="94" spans="1:11" ht="12.75">
      <c r="A94" s="82"/>
      <c r="B94" s="82"/>
      <c r="C94" s="98"/>
      <c r="D94" s="112"/>
      <c r="E94" s="112"/>
      <c r="F94" s="82"/>
      <c r="G94" s="82"/>
      <c r="H94" s="82"/>
      <c r="I94" s="82"/>
      <c r="J94" s="82"/>
      <c r="K94" s="82"/>
    </row>
    <row r="95" spans="1:11" ht="12.75">
      <c r="A95" s="82"/>
      <c r="B95" s="82"/>
      <c r="C95" s="98"/>
      <c r="D95" s="112"/>
      <c r="E95" s="112"/>
      <c r="F95" s="82"/>
      <c r="G95" s="82"/>
      <c r="H95" s="82"/>
      <c r="I95" s="82"/>
      <c r="J95" s="82"/>
      <c r="K95" s="82"/>
    </row>
    <row r="96" spans="1:11" ht="12.75">
      <c r="A96" s="82"/>
      <c r="B96" s="82"/>
      <c r="C96" s="82"/>
      <c r="D96" s="116"/>
      <c r="E96" s="116"/>
      <c r="F96" s="89"/>
      <c r="G96" s="82"/>
      <c r="H96" s="82"/>
      <c r="I96" s="82"/>
      <c r="J96" s="82"/>
      <c r="K96" s="82"/>
    </row>
    <row r="97" spans="1:11" ht="12.75">
      <c r="A97" s="82"/>
      <c r="B97" s="90"/>
      <c r="C97" s="82"/>
      <c r="D97" s="117"/>
      <c r="E97" s="117"/>
      <c r="F97" s="82"/>
      <c r="G97" s="82"/>
      <c r="H97" s="82"/>
      <c r="I97" s="82"/>
      <c r="J97" s="82"/>
      <c r="K97" s="82"/>
    </row>
    <row r="98" spans="1:11" ht="12.75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</row>
    <row r="99" spans="1:11" ht="12.75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</row>
    <row r="100" spans="1:11" ht="12.75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</row>
    <row r="101" spans="1:11" ht="12.75">
      <c r="A101" s="82"/>
      <c r="B101" s="82"/>
      <c r="C101" s="82"/>
      <c r="D101" s="82"/>
      <c r="E101" s="99"/>
      <c r="F101" s="118"/>
      <c r="G101" s="82"/>
      <c r="H101" s="82"/>
      <c r="I101" s="82"/>
      <c r="J101" s="82"/>
      <c r="K101" s="82"/>
    </row>
    <row r="102" spans="1:11" ht="12.75">
      <c r="A102" s="82"/>
      <c r="B102" s="82"/>
      <c r="C102" s="82"/>
      <c r="D102" s="82"/>
      <c r="E102" s="99"/>
      <c r="F102" s="118"/>
      <c r="G102" s="82"/>
      <c r="H102" s="82"/>
      <c r="I102" s="82"/>
      <c r="J102" s="82"/>
      <c r="K102" s="82"/>
    </row>
    <row r="103" spans="1:11" ht="12.75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</row>
    <row r="104" spans="1:11" ht="12.75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</row>
  </sheetData>
  <sheetProtection/>
  <dataValidations count="14">
    <dataValidation type="list" allowBlank="1" showInputMessage="1" showErrorMessage="1" sqref="F101:F102">
      <formula1>"'-,molto minore,minore,uguale,maggiore,molto maggiore"</formula1>
    </dataValidation>
    <dataValidation type="list" allowBlank="1" showInputMessage="1" showErrorMessage="1" sqref="H71">
      <formula1>"'-,minore,circa uguale,maggiore"</formula1>
    </dataValidation>
    <dataValidation type="list" allowBlank="1" showInputMessage="1" showErrorMessage="1" sqref="H72">
      <formula1>"'-,riscaldante,neutro,raffredante"</formula1>
    </dataValidation>
    <dataValidation type="list" allowBlank="1" showInputMessage="1" showErrorMessage="1" sqref="H73">
      <formula1>"'-,positiva,circa uguale a zero,negativa"</formula1>
    </dataValidation>
    <dataValidation type="list" allowBlank="1" showInputMessage="1" showErrorMessage="1" sqref="H74">
      <formula1>"'-,molto completa,certamente da approfondire,nulla"</formula1>
    </dataValidation>
    <dataValidation type="list" allowBlank="1" showInputMessage="1" showErrorMessage="1" sqref="H62">
      <formula1>"'-,aumenteranno comunque, rimarranno costanti ai valori attuali,diminuiranno"</formula1>
    </dataValidation>
    <dataValidation type="list" allowBlank="1" showInputMessage="1" showErrorMessage="1" sqref="H63">
      <formula1>"'-,aumenterà comunque, rimarrà costante ai valori attuali,diminuirà"</formula1>
    </dataValidation>
    <dataValidation type="list" allowBlank="1" showInputMessage="1" showErrorMessage="1" sqref="G66:G68">
      <formula1>"'-,le emissioni del 2000 non riescono comunque ad essere compensate nel ciclo del carbonio"</formula1>
    </dataValidation>
    <dataValidation type="list" allowBlank="1" showInputMessage="1" showErrorMessage="1" sqref="H77:H80">
      <formula1>"'-,in ogni caso,solo se si riducono le emissioni di CO2,solo se si riducono le emissioni di tutti i gas serra,in nessun caso"</formula1>
    </dataValidation>
    <dataValidation type="list" allowBlank="1" showInputMessage="1" showErrorMessage="1" sqref="H65">
      <formula1>"'-,è in equilibrio,riuscirebbe ad assorbire le emissioni umane,non riuscirebbe a compensare le emissioni umane"</formula1>
    </dataValidation>
    <dataValidation type="list" allowBlank="1" showInputMessage="1" showErrorMessage="1" sqref="H68">
      <formula1>"'-,trascurabile,di circa mezzo grado,di circa un grado"</formula1>
    </dataValidation>
    <dataValidation type="decimal" allowBlank="1" showInputMessage="1" showErrorMessage="1" errorTitle="% variazione emissioni" error="Si tratta di un tasso annuo dio variazione.&#10;Deve quindi essre compreso tra -2 e 1." sqref="B44">
      <formula1>-2</formula1>
      <formula2>1</formula2>
    </dataValidation>
    <dataValidation type="decimal" allowBlank="1" showInputMessage="1" showErrorMessage="1" errorTitle="% variazione emissioni" error="Si tratta di un tasso annuo di variazione.&#10;Deve quindi essere compreso tra 1 e -2." sqref="B43">
      <formula1>-2</formula1>
      <formula2>1</formula2>
    </dataValidation>
    <dataValidation type="decimal" allowBlank="1" showInputMessage="1" showErrorMessage="1" errorTitle="%  variazione emissioni" error="Si tratta di un tasso annuo di variazione.&#10;Deve quindi essere compreso tra 2 e -2.&#10;" sqref="B42">
      <formula1>-2</formula1>
      <formula2>2</formula2>
    </dataValidation>
  </dataValidation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354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2" max="2" width="10.28125" style="0" bestFit="1" customWidth="1"/>
    <col min="3" max="3" width="15.57421875" style="0" customWidth="1"/>
    <col min="7" max="7" width="10.140625" style="0" customWidth="1"/>
    <col min="8" max="9" width="10.00390625" style="0" customWidth="1"/>
    <col min="10" max="10" width="9.8515625" style="0" customWidth="1"/>
    <col min="11" max="14" width="10.140625" style="0" customWidth="1"/>
    <col min="15" max="15" width="13.57421875" style="0" customWidth="1"/>
    <col min="16" max="16" width="10.140625" style="0" customWidth="1"/>
    <col min="17" max="17" width="12.7109375" style="0" bestFit="1" customWidth="1"/>
    <col min="18" max="18" width="14.28125" style="0" customWidth="1"/>
    <col min="19" max="19" width="10.8515625" style="0" customWidth="1"/>
    <col min="20" max="20" width="14.7109375" style="0" bestFit="1" customWidth="1"/>
    <col min="22" max="22" width="10.421875" style="0" customWidth="1"/>
    <col min="23" max="23" width="13.140625" style="0" customWidth="1"/>
    <col min="24" max="24" width="14.140625" style="0" customWidth="1"/>
    <col min="29" max="31" width="9.7109375" style="0" bestFit="1" customWidth="1"/>
    <col min="32" max="32" width="10.8515625" style="0" bestFit="1" customWidth="1"/>
    <col min="34" max="34" width="10.00390625" style="0" customWidth="1"/>
    <col min="35" max="35" width="10.8515625" style="0" customWidth="1"/>
    <col min="36" max="37" width="9.7109375" style="0" bestFit="1" customWidth="1"/>
    <col min="41" max="41" width="9.7109375" style="0" bestFit="1" customWidth="1"/>
    <col min="45" max="47" width="9.7109375" style="0" bestFit="1" customWidth="1"/>
    <col min="51" max="51" width="12.140625" style="0" customWidth="1"/>
    <col min="52" max="52" width="13.140625" style="0" customWidth="1"/>
    <col min="53" max="53" width="16.8515625" style="0" customWidth="1"/>
    <col min="57" max="57" width="12.28125" style="0" customWidth="1"/>
    <col min="58" max="58" width="9.00390625" style="56" customWidth="1"/>
  </cols>
  <sheetData>
    <row r="1" spans="7:39" ht="15">
      <c r="G1" s="85"/>
      <c r="H1" s="85"/>
      <c r="U1" s="51"/>
      <c r="AA1" s="85" t="s">
        <v>106</v>
      </c>
      <c r="AB1" t="s">
        <v>107</v>
      </c>
      <c r="AF1" s="51"/>
      <c r="AG1" t="s">
        <v>2</v>
      </c>
      <c r="AH1" s="85" t="s">
        <v>106</v>
      </c>
      <c r="AI1" t="s">
        <v>107</v>
      </c>
      <c r="AM1" s="51"/>
    </row>
    <row r="2" spans="1:58" ht="15">
      <c r="A2" s="10" t="s">
        <v>78</v>
      </c>
      <c r="B2" s="1"/>
      <c r="C2" s="1"/>
      <c r="E2" s="7" t="s">
        <v>0</v>
      </c>
      <c r="F2" s="7" t="s">
        <v>12</v>
      </c>
      <c r="G2" s="7" t="s">
        <v>3</v>
      </c>
      <c r="H2" s="7" t="s">
        <v>4</v>
      </c>
      <c r="I2" s="7" t="s">
        <v>5</v>
      </c>
      <c r="J2" s="7" t="s">
        <v>6</v>
      </c>
      <c r="K2" s="8" t="s">
        <v>7</v>
      </c>
      <c r="L2" s="8" t="s">
        <v>104</v>
      </c>
      <c r="M2" s="8" t="s">
        <v>70</v>
      </c>
      <c r="N2" s="8"/>
      <c r="O2" s="8" t="s">
        <v>72</v>
      </c>
      <c r="P2" s="8" t="s">
        <v>73</v>
      </c>
      <c r="Q2" s="8" t="s">
        <v>9</v>
      </c>
      <c r="R2" s="8" t="s">
        <v>10</v>
      </c>
      <c r="S2" s="8" t="s">
        <v>11</v>
      </c>
      <c r="T2" s="8" t="s">
        <v>13</v>
      </c>
      <c r="U2" s="8" t="s">
        <v>15</v>
      </c>
      <c r="V2" s="8" t="s">
        <v>20</v>
      </c>
      <c r="W2" s="9" t="s">
        <v>21</v>
      </c>
      <c r="X2" s="9" t="s">
        <v>25</v>
      </c>
      <c r="Y2" s="11" t="s">
        <v>12</v>
      </c>
      <c r="Z2" s="12" t="s">
        <v>39</v>
      </c>
      <c r="AA2" s="13" t="s">
        <v>40</v>
      </c>
      <c r="AB2" s="13" t="s">
        <v>40</v>
      </c>
      <c r="AC2" s="13" t="s">
        <v>41</v>
      </c>
      <c r="AD2" s="14" t="s">
        <v>42</v>
      </c>
      <c r="AE2" s="14" t="s">
        <v>43</v>
      </c>
      <c r="AF2" s="13" t="s">
        <v>44</v>
      </c>
      <c r="AG2" s="13" t="s">
        <v>45</v>
      </c>
      <c r="AH2" s="15" t="s">
        <v>46</v>
      </c>
      <c r="AI2" s="15" t="s">
        <v>46</v>
      </c>
      <c r="AJ2" s="15" t="s">
        <v>41</v>
      </c>
      <c r="AK2" s="15" t="s">
        <v>47</v>
      </c>
      <c r="AL2" s="15" t="s">
        <v>48</v>
      </c>
      <c r="AM2" s="15" t="s">
        <v>44</v>
      </c>
      <c r="AN2" s="15" t="s">
        <v>49</v>
      </c>
      <c r="AO2" s="16" t="s">
        <v>50</v>
      </c>
      <c r="AP2" s="16" t="s">
        <v>51</v>
      </c>
      <c r="AQ2" s="16" t="s">
        <v>52</v>
      </c>
      <c r="AR2" s="16" t="s">
        <v>53</v>
      </c>
      <c r="AS2" s="17" t="s">
        <v>54</v>
      </c>
      <c r="AT2" s="18" t="s">
        <v>55</v>
      </c>
      <c r="AU2" s="19" t="s">
        <v>56</v>
      </c>
      <c r="AV2" s="19" t="s">
        <v>57</v>
      </c>
      <c r="AW2" s="20" t="s">
        <v>58</v>
      </c>
      <c r="AX2" s="15" t="s">
        <v>74</v>
      </c>
      <c r="AY2" s="15" t="s">
        <v>59</v>
      </c>
      <c r="AZ2" s="25" t="s">
        <v>60</v>
      </c>
      <c r="BA2" s="15" t="s">
        <v>61</v>
      </c>
      <c r="BB2" s="31" t="s">
        <v>27</v>
      </c>
      <c r="BC2" s="31" t="s">
        <v>75</v>
      </c>
      <c r="BD2" s="31" t="s">
        <v>28</v>
      </c>
      <c r="BE2" s="31" t="s">
        <v>69</v>
      </c>
      <c r="BF2" s="32" t="s">
        <v>22</v>
      </c>
    </row>
    <row r="3" spans="1:58" ht="15">
      <c r="A3" s="1" t="s">
        <v>16</v>
      </c>
      <c r="B3" s="1">
        <v>18.2</v>
      </c>
      <c r="C3" s="1"/>
      <c r="E3" s="1" t="s">
        <v>1</v>
      </c>
      <c r="F3" s="1" t="s">
        <v>2</v>
      </c>
      <c r="G3" s="1" t="s">
        <v>8</v>
      </c>
      <c r="H3" s="1" t="s">
        <v>8</v>
      </c>
      <c r="I3" s="1" t="s">
        <v>8</v>
      </c>
      <c r="J3" s="1" t="s">
        <v>8</v>
      </c>
      <c r="K3" s="1" t="s">
        <v>8</v>
      </c>
      <c r="L3" s="1"/>
      <c r="M3" s="1" t="s">
        <v>71</v>
      </c>
      <c r="N3" s="1"/>
      <c r="O3" s="1" t="s">
        <v>71</v>
      </c>
      <c r="P3" s="1"/>
      <c r="Q3" s="2" t="s">
        <v>24</v>
      </c>
      <c r="R3" s="1" t="s">
        <v>14</v>
      </c>
      <c r="S3" s="1"/>
      <c r="T3" s="1" t="s">
        <v>14</v>
      </c>
      <c r="U3" s="1" t="s">
        <v>14</v>
      </c>
      <c r="V3" s="1"/>
      <c r="W3" s="4"/>
      <c r="X3" s="6" t="s">
        <v>2</v>
      </c>
      <c r="Y3" s="1"/>
      <c r="Z3" s="1"/>
      <c r="AA3" s="1" t="s">
        <v>62</v>
      </c>
      <c r="AB3" s="1" t="s">
        <v>62</v>
      </c>
      <c r="AC3" s="1" t="s">
        <v>62</v>
      </c>
      <c r="AD3" s="1" t="s">
        <v>1</v>
      </c>
      <c r="AE3" s="1"/>
      <c r="AF3" s="1" t="s">
        <v>32</v>
      </c>
      <c r="AG3" s="1" t="s">
        <v>26</v>
      </c>
      <c r="AH3" s="1"/>
      <c r="AI3" s="1" t="s">
        <v>63</v>
      </c>
      <c r="AJ3" s="1" t="s">
        <v>62</v>
      </c>
      <c r="AK3" s="1" t="s">
        <v>1</v>
      </c>
      <c r="AL3" s="1"/>
      <c r="AM3" s="1" t="s">
        <v>32</v>
      </c>
      <c r="AN3" s="1" t="s">
        <v>26</v>
      </c>
      <c r="AO3" s="1"/>
      <c r="AP3" s="1" t="s">
        <v>64</v>
      </c>
      <c r="AQ3" s="1" t="s">
        <v>65</v>
      </c>
      <c r="AR3" s="1" t="s">
        <v>65</v>
      </c>
      <c r="AS3" s="1" t="s">
        <v>66</v>
      </c>
      <c r="AT3" s="1"/>
      <c r="AU3" s="1" t="s">
        <v>35</v>
      </c>
      <c r="AV3" s="1" t="s">
        <v>26</v>
      </c>
      <c r="AW3" s="1" t="s">
        <v>26</v>
      </c>
      <c r="AX3" s="1" t="s">
        <v>67</v>
      </c>
      <c r="AY3" s="1" t="s">
        <v>26</v>
      </c>
      <c r="AZ3" s="1" t="s">
        <v>26</v>
      </c>
      <c r="BA3" s="1" t="s">
        <v>26</v>
      </c>
      <c r="BB3" s="6"/>
      <c r="BC3" s="6"/>
      <c r="BD3" s="1"/>
      <c r="BE3" s="1"/>
      <c r="BF3" s="22" t="s">
        <v>23</v>
      </c>
    </row>
    <row r="4" spans="1:59" ht="15">
      <c r="A4" s="1" t="s">
        <v>17</v>
      </c>
      <c r="B4" s="1">
        <v>75</v>
      </c>
      <c r="C4" s="1" t="s">
        <v>38</v>
      </c>
      <c r="E4" s="1">
        <v>0</v>
      </c>
      <c r="F4" s="1">
        <f>1750+E4</f>
        <v>1750</v>
      </c>
      <c r="G4" s="3">
        <v>0</v>
      </c>
      <c r="H4" s="3">
        <v>0</v>
      </c>
      <c r="I4" s="5">
        <f>P4/2.123</f>
        <v>0</v>
      </c>
      <c r="J4" s="3">
        <v>0</v>
      </c>
      <c r="K4" s="4">
        <f>G4+H4-I4-J4</f>
        <v>0</v>
      </c>
      <c r="L4" s="4">
        <f>0.70211*EXP(-0.35*(350-E4))+0.013414*EXP(-(350-E4)/20)-0.71846*EXP(-55*(350-E4)/120)+0.0029323*EXP(-(350-E4)/100)</f>
        <v>8.85481242346913E-05</v>
      </c>
      <c r="M4" s="4">
        <f>60*B8*LN(U4/U4)</f>
        <v>0</v>
      </c>
      <c r="N4" s="4">
        <f>L4*M4</f>
        <v>0</v>
      </c>
      <c r="O4" s="4">
        <f>M4*L354</f>
        <v>0</v>
      </c>
      <c r="P4" s="4">
        <f>M4-O4</f>
        <v>0</v>
      </c>
      <c r="Q4" s="3">
        <v>0</v>
      </c>
      <c r="R4" s="3">
        <v>0</v>
      </c>
      <c r="S4" s="4">
        <f>0.022936+0.24278*EXP(-(350-E4)/1.2679)+0.13963*EXP(-(350-E4)/5.2528)+0.089318*EXP(-(350-E4)/18.601)+0.03782*EXP(-(350-E4)/68.736)+0.035549*EXP(-(350-E4)/232.3)</f>
        <v>0.03104774849337981</v>
      </c>
      <c r="T4" s="3">
        <v>280</v>
      </c>
      <c r="U4" s="3">
        <v>280</v>
      </c>
      <c r="V4" s="4">
        <f>J4*S4</f>
        <v>0</v>
      </c>
      <c r="W4" s="4">
        <f>J4*S354</f>
        <v>0</v>
      </c>
      <c r="X4" s="6">
        <f>5.35*LN(U4/U4)</f>
        <v>0</v>
      </c>
      <c r="Y4" s="26">
        <f>1750+Z4</f>
        <v>1750</v>
      </c>
      <c r="Z4" s="26">
        <v>0</v>
      </c>
      <c r="AA4" s="27">
        <f>0.37*Z4</f>
        <v>0</v>
      </c>
      <c r="AB4" s="28">
        <f>AA4+B16</f>
        <v>106.3353745</v>
      </c>
      <c r="AC4" s="29">
        <f>AF4/AD4</f>
        <v>127.02695139755932</v>
      </c>
      <c r="AD4" s="26">
        <f>1/AS4</f>
        <v>5.842854542553877</v>
      </c>
      <c r="AE4" s="26">
        <f>AB4-AC4</f>
        <v>-20.691576897559315</v>
      </c>
      <c r="AF4" s="27">
        <f>B12</f>
        <v>742.2</v>
      </c>
      <c r="AG4" s="30">
        <f>0.036*(SQRT(AF4)-SQRT(B12))</f>
        <v>0</v>
      </c>
      <c r="AH4" s="27">
        <v>0</v>
      </c>
      <c r="AI4" s="46">
        <f>AH4+B17</f>
        <v>1.975</v>
      </c>
      <c r="AJ4" s="26">
        <f>AM4/AK4</f>
        <v>2.1988752085333756</v>
      </c>
      <c r="AK4" s="26">
        <f>120*(AI4/AI254)^-0.055</f>
        <v>123.69960739219069</v>
      </c>
      <c r="AL4" s="26">
        <f aca="true" t="shared" si="0" ref="AL4:AL67">AI4-AJ4</f>
        <v>-0.2238752085333755</v>
      </c>
      <c r="AM4" s="3">
        <v>272</v>
      </c>
      <c r="AN4" s="26">
        <f>0.12*(SQRT(AM4)-SQRT(B13))</f>
        <v>0</v>
      </c>
      <c r="AO4" s="26">
        <f>EXP(AT4)</f>
        <v>1.4991403234361458</v>
      </c>
      <c r="AP4" s="27">
        <v>0</v>
      </c>
      <c r="AQ4" s="27">
        <f>0.46*Z4</f>
        <v>0</v>
      </c>
      <c r="AR4" s="27">
        <f>0.07*Z4</f>
        <v>0</v>
      </c>
      <c r="AS4" s="33">
        <f>AO4/9.58+1/68.2</f>
        <v>0.1711492204224728</v>
      </c>
      <c r="AT4" s="34">
        <f>-0.32*LN(AF4/AF254)+0.0042*(AI4-AI254)-0.000105*(AQ4-AQ254)-0.000315*(AR4-AR254)</f>
        <v>0.4048918261041975</v>
      </c>
      <c r="AU4" s="26">
        <f>AU254+5*LN(AF4/AF254)+0.125*(AP4-AP254)+0.0011*(AQ4-AQ254)+0.0033*(AR4-AR254)</f>
        <v>24.522223654621914</v>
      </c>
      <c r="AV4" s="26">
        <f>0.042*(AU4-B14)</f>
        <v>-0.0200666065058796</v>
      </c>
      <c r="AW4" s="26">
        <f>0.05*0.036*(SQRT(AF4)-SQRT(B12))</f>
        <v>0</v>
      </c>
      <c r="AX4" s="27">
        <v>0</v>
      </c>
      <c r="AY4" s="34">
        <f>-0.4*(AX4/AX254)</f>
        <v>0</v>
      </c>
      <c r="AZ4" s="34">
        <f>-0.8*LN((B15+AX4)/B15)*(LN((B15+AX254)/B15))^-1</f>
        <v>0</v>
      </c>
      <c r="BA4" s="34">
        <f>-0.1*(AQ4/AQ254)</f>
        <v>0</v>
      </c>
      <c r="BB4" s="6">
        <f>BA4+AZ4+AY4+AW4+AV4+AN4+AG4+X4</f>
        <v>-0.0200666065058796</v>
      </c>
      <c r="BC4" s="6">
        <v>0</v>
      </c>
      <c r="BD4" s="4">
        <f>0.29*(1-EXP(-(350-E4)/440))+0.71*(1-EXP(-(350-E4)/14.4))</f>
        <v>0.8691009549433053</v>
      </c>
      <c r="BE4" s="5">
        <f>BD354*BC4</f>
        <v>0</v>
      </c>
      <c r="BF4" s="23">
        <f>BE4*B7</f>
        <v>0</v>
      </c>
      <c r="BG4" s="48"/>
    </row>
    <row r="5" spans="1:59" ht="15">
      <c r="A5" s="1" t="s">
        <v>18</v>
      </c>
      <c r="B5" s="1">
        <f>1.722*100000000000000000</f>
        <v>1.722E+17</v>
      </c>
      <c r="C5" s="1"/>
      <c r="E5" s="1">
        <f>E4+1</f>
        <v>1</v>
      </c>
      <c r="F5" s="1">
        <f aca="true" t="shared" si="1" ref="F5:F68">1750+E5</f>
        <v>1751</v>
      </c>
      <c r="G5" s="3">
        <v>0</v>
      </c>
      <c r="H5" s="3">
        <f>H4+0.0008</f>
        <v>0.0008</v>
      </c>
      <c r="I5" s="5">
        <f>P5/2.123</f>
        <v>0</v>
      </c>
      <c r="J5" s="5">
        <f>(U5-T5)/9.06</f>
        <v>0</v>
      </c>
      <c r="K5" s="4">
        <f aca="true" t="shared" si="2" ref="K5:K68">G5+H5-I5-J5</f>
        <v>0.0008</v>
      </c>
      <c r="L5" s="4">
        <f aca="true" t="shared" si="3" ref="L5:L68">0.70211*EXP(-0.35*(350-E5))+0.013414*EXP(-(350-E5)/20)-0.71846*EXP(-55*(350-E5)/120)+0.0029323*EXP(-(350-E5)/100)</f>
        <v>8.94380615624967E-05</v>
      </c>
      <c r="M5" s="4">
        <f>60*B8*LN(U5/U4)</f>
        <v>0</v>
      </c>
      <c r="N5" s="4">
        <f>L5*M5</f>
        <v>0</v>
      </c>
      <c r="O5" s="4">
        <f>SUMPRODUCT($M$4:M5,L353:$L$354)</f>
        <v>0</v>
      </c>
      <c r="P5" s="4">
        <f>M5-O5</f>
        <v>0</v>
      </c>
      <c r="Q5" s="4">
        <f>(B5/(B4*B6))*W4</f>
        <v>0</v>
      </c>
      <c r="R5" s="4">
        <f>(1.558-1.399*B3*0.01)*Q5+(7.4706-0.20207*B3)*0.001*Q5^2-(1.2748-0.12015*B3)*0.00001*Q5^3+(2.4491-0.12639*B3)*0.0000001*Q5^4-(1.5468-0.15326*B3)*0.0000000001*Q5^5</f>
        <v>0</v>
      </c>
      <c r="S5" s="4">
        <f>0.022936+0.24278*EXP(-(350-E5)/1.2679)+0.13963*EXP(-(350-E5)/5.2528)+0.089318*EXP(-(350-E5)/18.601)+0.03782*EXP(-(350-E5)/68.736)+0.035549*EXP(-(350-E5)/232.3)</f>
        <v>0.031085146700412212</v>
      </c>
      <c r="T5" s="5">
        <f>(T4+R5)*EXP(0.0423*BF4)</f>
        <v>280</v>
      </c>
      <c r="U5" s="4">
        <f>U4+K4</f>
        <v>280</v>
      </c>
      <c r="V5" s="4">
        <f aca="true" t="shared" si="4" ref="V5:V67">J5*S5</f>
        <v>0</v>
      </c>
      <c r="W5" s="4">
        <f>SUMPRODUCT($J$4:J5,$S353:S$354)</f>
        <v>0</v>
      </c>
      <c r="X5" s="6">
        <f>5.35*LN(U5/U4)</f>
        <v>0</v>
      </c>
      <c r="Y5" s="4">
        <f aca="true" t="shared" si="5" ref="Y5:Y68">1750+Z5</f>
        <v>1751</v>
      </c>
      <c r="Z5" s="4">
        <f>Z4+1</f>
        <v>1</v>
      </c>
      <c r="AA5" s="21">
        <f aca="true" t="shared" si="6" ref="AA5:AA68">0.37*Z5</f>
        <v>0.37</v>
      </c>
      <c r="AB5" s="6">
        <f>AA5+B16</f>
        <v>106.7053745</v>
      </c>
      <c r="AC5" s="24">
        <f>AF5/AD5</f>
        <v>124.50378999045886</v>
      </c>
      <c r="AD5" s="4">
        <f aca="true" t="shared" si="7" ref="AD5:AD10">1/AS5</f>
        <v>5.795071966546017</v>
      </c>
      <c r="AE5" s="4">
        <f aca="true" t="shared" si="8" ref="AE5:AE67">AB5-AC5</f>
        <v>-17.79841549045885</v>
      </c>
      <c r="AF5" s="6">
        <f>AF4+AE4</f>
        <v>721.5084231024407</v>
      </c>
      <c r="AG5" s="30">
        <f>0.036*(SQRT(AF5)-SQRT(B12))</f>
        <v>-0.013767803395963042</v>
      </c>
      <c r="AH5" s="27">
        <v>0</v>
      </c>
      <c r="AI5" s="47">
        <f>AH5+B17</f>
        <v>1.975</v>
      </c>
      <c r="AJ5" s="4">
        <f aca="true" t="shared" si="9" ref="AJ5:AJ67">AM5/AK5</f>
        <v>2.1970653789530474</v>
      </c>
      <c r="AK5" s="4">
        <f>120*(AI5/AI254)^-0.055</f>
        <v>123.69960739219069</v>
      </c>
      <c r="AL5" s="4">
        <f t="shared" si="0"/>
        <v>-0.22206537895304734</v>
      </c>
      <c r="AM5" s="5">
        <f>AM4+AL4</f>
        <v>271.7761247914666</v>
      </c>
      <c r="AN5" s="26">
        <f>0.12*(SQRT(AM5)-SQRT(B13))</f>
        <v>-0.0008146333641798264</v>
      </c>
      <c r="AO5" s="4">
        <f aca="true" t="shared" si="10" ref="AO5:AO67">EXP(AT5)</f>
        <v>1.5126595286369475</v>
      </c>
      <c r="AP5" s="21">
        <v>0</v>
      </c>
      <c r="AQ5" s="21">
        <f aca="true" t="shared" si="11" ref="AQ5:AQ54">0.46*Z5</f>
        <v>0.46</v>
      </c>
      <c r="AR5" s="21">
        <f aca="true" t="shared" si="12" ref="AR5:AR68">0.07*Z5</f>
        <v>0.07</v>
      </c>
      <c r="AS5" s="35">
        <f aca="true" t="shared" si="13" ref="AS5:AS67">AO5/9.58+1/68.2</f>
        <v>0.17256041094447716</v>
      </c>
      <c r="AT5" s="36">
        <f>-0.32*LN(AF5/AF254)+0.0042*(AI5-AI254)-0.000105*(AQ5-AQ254)-0.000315*(AR5-AR254)</f>
        <v>0.4138693788398967</v>
      </c>
      <c r="AU5" s="4">
        <f>AU254+5*LN(AF5/AF254)+0.125*(AP5-AP254)+0.0011*(AQ5-AQ254)+0.0033*(AR5-AR254)</f>
        <v>24.381587174376612</v>
      </c>
      <c r="AV5" s="4">
        <f>0.042*(AU5-B14)</f>
        <v>-0.025973338676182282</v>
      </c>
      <c r="AW5" s="4">
        <f>0.05*0.036*(SQRT(AF5)-SQRT(B12))</f>
        <v>-0.0006883901697981521</v>
      </c>
      <c r="AX5" s="21">
        <v>0</v>
      </c>
      <c r="AY5" s="36">
        <f>-0.4*(AX5/AX254)</f>
        <v>0</v>
      </c>
      <c r="AZ5" s="36">
        <f>-0.8*LN((B15+AX5)/B15)*(LN((B15+AX254)/B15))^-1</f>
        <v>0</v>
      </c>
      <c r="BA5" s="36">
        <f>-0.1*(AQ5/AQ254)</f>
        <v>-5.287356321839081E-05</v>
      </c>
      <c r="BB5" s="6">
        <f aca="true" t="shared" si="14" ref="BB5:BB68">BA5+AZ5+AY5+AW5+AV5+AN5+AG5+X5</f>
        <v>-0.041297039169341694</v>
      </c>
      <c r="BC5" s="6">
        <f>BB5-BB4</f>
        <v>-0.021230432663462095</v>
      </c>
      <c r="BD5" s="4">
        <f aca="true" t="shared" si="15" ref="BD5:BD68">0.29*(1-EXP(-(350-E5)/440))+0.71*(1-EXP(-(350-E5)/14.4))</f>
        <v>0.8688031187902845</v>
      </c>
      <c r="BE5" s="4">
        <f>SUMPRODUCT(BC$4:BC5,$BD353:BD$354)</f>
        <v>0</v>
      </c>
      <c r="BF5" s="23">
        <f>BE5*B7</f>
        <v>0</v>
      </c>
      <c r="BG5" s="48"/>
    </row>
    <row r="6" spans="1:59" ht="15">
      <c r="A6" s="1" t="s">
        <v>19</v>
      </c>
      <c r="B6" s="1">
        <f>3.62*100000000000000</f>
        <v>362000000000000</v>
      </c>
      <c r="C6" s="1"/>
      <c r="D6">
        <f>P358</f>
        <v>0</v>
      </c>
      <c r="E6" s="1">
        <f aca="true" t="shared" si="16" ref="E6:E69">E5+1</f>
        <v>2</v>
      </c>
      <c r="F6" s="1">
        <f t="shared" si="1"/>
        <v>1752</v>
      </c>
      <c r="G6" s="3">
        <v>0</v>
      </c>
      <c r="H6" s="3">
        <f aca="true" t="shared" si="17" ref="H6:H54">H5+0.0008</f>
        <v>0.0016</v>
      </c>
      <c r="I6" s="5">
        <f aca="true" t="shared" si="18" ref="I6:I68">P6/2.123</f>
        <v>2.3174805348576576E-05</v>
      </c>
      <c r="J6" s="5">
        <f aca="true" t="shared" si="19" ref="J6:J69">(U6-T6)/9.06</f>
        <v>8.830022075348314E-05</v>
      </c>
      <c r="K6" s="4">
        <f t="shared" si="2"/>
        <v>0.0014885249738979403</v>
      </c>
      <c r="L6" s="4">
        <f t="shared" si="3"/>
        <v>9.03369436210021E-05</v>
      </c>
      <c r="M6" s="4">
        <f>60*B8*LN(U6/U4)</f>
        <v>4.9199929715288135E-05</v>
      </c>
      <c r="N6" s="4">
        <f aca="true" t="shared" si="20" ref="N6:N68">L6*M6</f>
        <v>4.4445712768472495E-09</v>
      </c>
      <c r="O6" s="4">
        <f>SUMPRODUCT($M$4:M6,L352:$L$354)</f>
        <v>-1.8203973994354332E-10</v>
      </c>
      <c r="P6" s="4">
        <f aca="true" t="shared" si="21" ref="P6:P68">M6-O6</f>
        <v>4.920011175502808E-05</v>
      </c>
      <c r="Q6" s="4">
        <f>(B5/(B4*B6))*W5</f>
        <v>0</v>
      </c>
      <c r="R6" s="4">
        <f>(1.558-1.399*B3*0.01)*Q6+(7.4706-0.20207*B3)*0.001*Q6^2-(1.2748-0.12015*B3)*0.00001*Q6^3+(2.4491-0.12639*B3)*0.0000001*Q6^4-(1.5468-0.15326*B3)*0.0000000001*Q6^5</f>
        <v>0</v>
      </c>
      <c r="S6" s="4">
        <f>0.022936+0.24278*EXP(-(350-E6)/1.2679)+0.13963*EXP(-(350-E6)/5.2528)+0.089318*EXP(-(350-E6)/18.601)+0.03782*EXP(-(350-E6)/68.736)+0.035549*EXP(-(350-E6)/232.3)</f>
        <v>0.03112274147175586</v>
      </c>
      <c r="T6" s="5">
        <f>(T4+R6)*EXP(0.0423*BF5)</f>
        <v>280</v>
      </c>
      <c r="U6" s="4">
        <f>U5+K5</f>
        <v>280.0008</v>
      </c>
      <c r="V6" s="4">
        <f>J6*S6</f>
        <v>2.748144942409627E-06</v>
      </c>
      <c r="W6" s="4">
        <f>SUMPRODUCT($J$4:J6,$S352:S$354)</f>
        <v>8.825253863427625E-05</v>
      </c>
      <c r="X6" s="6">
        <f>5.35*LN(U6/U4)</f>
        <v>1.528569244929103E-05</v>
      </c>
      <c r="Y6" s="4">
        <f t="shared" si="5"/>
        <v>1752</v>
      </c>
      <c r="Z6" s="4">
        <f aca="true" t="shared" si="22" ref="Z6:Z69">Z5+1</f>
        <v>2</v>
      </c>
      <c r="AA6" s="21">
        <f t="shared" si="6"/>
        <v>0.74</v>
      </c>
      <c r="AB6" s="6">
        <f>AA6+B16</f>
        <v>107.0753745</v>
      </c>
      <c r="AC6" s="24">
        <f>AF6/AD6</f>
        <v>122.3162880013262</v>
      </c>
      <c r="AD6" s="4">
        <f t="shared" si="7"/>
        <v>5.753199505239661</v>
      </c>
      <c r="AE6" s="4">
        <f t="shared" si="8"/>
        <v>-15.240913501326204</v>
      </c>
      <c r="AF6" s="6">
        <f>AF5+AE5</f>
        <v>703.7100076119818</v>
      </c>
      <c r="AG6" s="30">
        <f>0.036*(SQRT(AF6)-SQRT(B12))</f>
        <v>-0.025769332857886254</v>
      </c>
      <c r="AH6" s="27">
        <v>0</v>
      </c>
      <c r="AI6" s="47">
        <f>AH6+B17</f>
        <v>1.975</v>
      </c>
      <c r="AJ6" s="4">
        <f t="shared" si="9"/>
        <v>2.195270180216086</v>
      </c>
      <c r="AK6" s="4">
        <f>120*(AI6/AI254)^-0.055</f>
        <v>123.69960739219069</v>
      </c>
      <c r="AL6" s="4">
        <f t="shared" si="0"/>
        <v>-0.2202701802160858</v>
      </c>
      <c r="AM6" s="5">
        <f aca="true" t="shared" si="23" ref="AM6:AM69">AM5+AL5</f>
        <v>271.55405941251354</v>
      </c>
      <c r="AN6" s="26">
        <f>0.12*(SQRT(AM6)-SQRT(B13))</f>
        <v>-0.0016230126868424575</v>
      </c>
      <c r="AO6" s="4">
        <f t="shared" si="10"/>
        <v>1.5246911936270204</v>
      </c>
      <c r="AP6" s="21">
        <v>0</v>
      </c>
      <c r="AQ6" s="21">
        <f t="shared" si="11"/>
        <v>0.92</v>
      </c>
      <c r="AR6" s="21">
        <f t="shared" si="12"/>
        <v>0.14</v>
      </c>
      <c r="AS6" s="35">
        <f t="shared" si="13"/>
        <v>0.17381632587037202</v>
      </c>
      <c r="AT6" s="36">
        <f>-0.32*LN(AF6/AF254)+0.0042*(AI6-AI254)-0.000105*(AQ6-AQ254)-0.000315*(AR6-AR254)</f>
        <v>0.42179189357201363</v>
      </c>
      <c r="AU6" s="4">
        <f>AU254+5*LN(AF6/AF254)+0.125*(AP6-AP254)+0.0011*(AQ6-AQ254)+0.0033*(AR6-AR254)</f>
        <v>24.257435662937286</v>
      </c>
      <c r="AV6" s="4">
        <f>0.042*(AU6-B14)</f>
        <v>-0.03118770215663397</v>
      </c>
      <c r="AW6" s="4">
        <f>0.05*0.036*(SQRT(AF6)-SQRT(B12))</f>
        <v>-0.0012884666428943127</v>
      </c>
      <c r="AX6" s="21">
        <v>0</v>
      </c>
      <c r="AY6" s="36">
        <f>-0.4*(AX6/AX254)</f>
        <v>0</v>
      </c>
      <c r="AZ6" s="36">
        <f>-0.8*LN((B15+AX6)/B15)*(LN((B15+AX254)/B15))^-1</f>
        <v>0</v>
      </c>
      <c r="BA6" s="36">
        <f>-0.1*(AQ6/AQ254)</f>
        <v>-0.00010574712643678162</v>
      </c>
      <c r="BB6" s="6">
        <f t="shared" si="14"/>
        <v>-0.05995897577824449</v>
      </c>
      <c r="BC6" s="6">
        <f aca="true" t="shared" si="24" ref="BC6:BC69">BB6-BB5</f>
        <v>-0.018661936608902793</v>
      </c>
      <c r="BD6" s="4">
        <f t="shared" si="15"/>
        <v>0.8685046049670289</v>
      </c>
      <c r="BE6" s="4">
        <f>SUMPRODUCT(BC$4:BC6,$BD352:BD$354)</f>
        <v>-0.001025235652653896</v>
      </c>
      <c r="BF6" s="23">
        <f>BE6*B7</f>
        <v>-0.001025235652653896</v>
      </c>
      <c r="BG6" s="48"/>
    </row>
    <row r="7" spans="1:59" ht="15">
      <c r="A7" s="1" t="s">
        <v>29</v>
      </c>
      <c r="B7" s="1">
        <v>1</v>
      </c>
      <c r="C7" s="1" t="s">
        <v>26</v>
      </c>
      <c r="E7" s="1">
        <f t="shared" si="16"/>
        <v>3</v>
      </c>
      <c r="F7" s="1">
        <f t="shared" si="1"/>
        <v>1753</v>
      </c>
      <c r="G7" s="3">
        <v>0</v>
      </c>
      <c r="H7" s="3">
        <f t="shared" si="17"/>
        <v>0.0024000000000000002</v>
      </c>
      <c r="I7" s="5">
        <f>P7/2.123</f>
        <v>6.499434299256884E-05</v>
      </c>
      <c r="J7" s="5">
        <f t="shared" si="19"/>
        <v>0.0015123202138834502</v>
      </c>
      <c r="K7" s="4">
        <f t="shared" si="2"/>
        <v>0.0008226854431239812</v>
      </c>
      <c r="L7" s="4">
        <f t="shared" si="3"/>
        <v>9.124486034274337E-05</v>
      </c>
      <c r="M7" s="4">
        <f>60*B8*LN(U7/U4)</f>
        <v>0.0001407437107294169</v>
      </c>
      <c r="N7" s="4">
        <f t="shared" si="20"/>
        <v>1.2842140229625116E-08</v>
      </c>
      <c r="O7" s="4">
        <f>SUMPRODUCT($M$4:M7,L$351:$L$354)</f>
        <v>2.7607205561932376E-06</v>
      </c>
      <c r="P7" s="4">
        <f t="shared" si="21"/>
        <v>0.00013798299017322367</v>
      </c>
      <c r="Q7" s="4">
        <f>(B5/(B4*B6))*W6</f>
        <v>0.000559745383161045</v>
      </c>
      <c r="R7" s="4">
        <f>(1.558-1.399*B3*0.01)*Q7+(7.4706-0.20207*B3)*0.001*Q7^2-(1.2748-0.12015*B3)*0.00001*Q7^3+(2.4491-0.12639*B3)*0.0000001*Q7^4-(1.5468-0.15326*B3)*0.0000000001*Q7^5</f>
        <v>0.000729563245377016</v>
      </c>
      <c r="S7" s="4">
        <f>0.022936+0.24278*EXP(-(350-E7)/1.2679)+0.13963*EXP(-(350-E7)/5.2528)+0.089318*EXP(-(350-E7)/18.601)+0.03782*EXP(-(350-E7)/68.736)+0.035549*EXP(-(350-E7)/232.3)</f>
        <v>0.031160534171702163</v>
      </c>
      <c r="T7" s="5">
        <f>(T4+R7)*EXP(0.0423*BF6)</f>
        <v>279.98858690383616</v>
      </c>
      <c r="U7" s="4">
        <f aca="true" t="shared" si="25" ref="U7:U68">U6+K6</f>
        <v>280.00228852497395</v>
      </c>
      <c r="V7" s="4">
        <f t="shared" si="4"/>
        <v>4.7124705703271175E-05</v>
      </c>
      <c r="W7" s="4">
        <f>SUMPRODUCT($J$4:J7,$S$351:S$354)</f>
        <v>0.0015481850366192255</v>
      </c>
      <c r="X7" s="6">
        <f>5.35*LN(U7/U4)</f>
        <v>4.3726994913030224E-05</v>
      </c>
      <c r="Y7" s="4">
        <f t="shared" si="5"/>
        <v>1753</v>
      </c>
      <c r="Z7" s="4">
        <f t="shared" si="22"/>
        <v>3</v>
      </c>
      <c r="AA7" s="21">
        <f t="shared" si="6"/>
        <v>1.1099999999999999</v>
      </c>
      <c r="AB7" s="6">
        <f>AA7+B16</f>
        <v>107.4453745</v>
      </c>
      <c r="AC7" s="24">
        <f aca="true" t="shared" si="26" ref="AC7:AC67">AF7/AD7</f>
        <v>120.4298418079989</v>
      </c>
      <c r="AD7" s="4">
        <f t="shared" si="7"/>
        <v>5.716764912871685</v>
      </c>
      <c r="AE7" s="4">
        <f t="shared" si="8"/>
        <v>-12.984467307998898</v>
      </c>
      <c r="AF7" s="6">
        <f>AF6+AE6</f>
        <v>688.4690941106556</v>
      </c>
      <c r="AG7" s="30">
        <f>0.036*(SQRT(AF7)-SQRT(B12))</f>
        <v>-0.03616751576646821</v>
      </c>
      <c r="AH7" s="27">
        <v>0</v>
      </c>
      <c r="AI7" s="47">
        <f>AH7+B17</f>
        <v>1.975</v>
      </c>
      <c r="AJ7" s="4">
        <f t="shared" si="9"/>
        <v>2.193489494045291</v>
      </c>
      <c r="AK7" s="4">
        <f>120*(AI7/AI254)^-0.055</f>
        <v>123.69960739219069</v>
      </c>
      <c r="AL7" s="4">
        <f t="shared" si="0"/>
        <v>-0.21848949404529083</v>
      </c>
      <c r="AM7" s="5">
        <f t="shared" si="23"/>
        <v>271.3337892322975</v>
      </c>
      <c r="AN7" s="26">
        <f>0.12*(SQRT(AM7)-SQRT(B13))</f>
        <v>-0.0024251835878247615</v>
      </c>
      <c r="AO7" s="4">
        <f t="shared" si="10"/>
        <v>1.5353037413516375</v>
      </c>
      <c r="AP7" s="21">
        <v>0</v>
      </c>
      <c r="AQ7" s="21">
        <f t="shared" si="11"/>
        <v>1.3800000000000001</v>
      </c>
      <c r="AR7" s="21">
        <f t="shared" si="12"/>
        <v>0.21000000000000002</v>
      </c>
      <c r="AS7" s="35">
        <f t="shared" si="13"/>
        <v>0.1749241074700189</v>
      </c>
      <c r="AT7" s="36">
        <f>-0.32*LN(AF7/AF254)+0.0042*(AI7-AI254)-0.000105*(AQ7-AQ254)-0.000315*(AR7-AR254)</f>
        <v>0.428728238566113</v>
      </c>
      <c r="AU7" s="4">
        <f>AU254+5*LN(AF7/AF254)+0.125*(AP7-AP254)+0.0011*(AQ7-AQ254)+0.0033*(AR7-AR254)</f>
        <v>24.148693053654487</v>
      </c>
      <c r="AV7" s="4">
        <f>0.042*(AU7-B14)</f>
        <v>-0.03575489174651156</v>
      </c>
      <c r="AW7" s="4">
        <f>0.05*0.036*(SQRT(AF7)-SQRT(B12))</f>
        <v>-0.0018083757883234105</v>
      </c>
      <c r="AX7" s="21">
        <v>0</v>
      </c>
      <c r="AY7" s="36">
        <f>-0.4*(AX7/AX254)</f>
        <v>0</v>
      </c>
      <c r="AZ7" s="36">
        <f>-0.8*LN((B15+AX7)/B15)*(LN((B15+AX254)/B15))^-1</f>
        <v>0</v>
      </c>
      <c r="BA7" s="36">
        <f>-0.1*(AQ7/AQ254)</f>
        <v>-0.00015862068965517243</v>
      </c>
      <c r="BB7" s="6">
        <f t="shared" si="14"/>
        <v>-0.07627086058387009</v>
      </c>
      <c r="BC7" s="6">
        <f t="shared" si="24"/>
        <v>-0.0163118848056256</v>
      </c>
      <c r="BD7" s="4">
        <f t="shared" si="15"/>
        <v>0.8682054119316205</v>
      </c>
      <c r="BE7" s="4">
        <f>SUMPRODUCT(BC$4:BC7,$BD$351:BD$354)</f>
        <v>-0.0028837970015282988</v>
      </c>
      <c r="BF7" s="23">
        <f>BE7*B7</f>
        <v>-0.0028837970015282988</v>
      </c>
      <c r="BG7" s="48"/>
    </row>
    <row r="8" spans="1:59" ht="15">
      <c r="A8" s="2" t="s">
        <v>30</v>
      </c>
      <c r="B8" s="1">
        <v>0.287</v>
      </c>
      <c r="C8" s="1"/>
      <c r="E8" s="1">
        <f t="shared" si="16"/>
        <v>4</v>
      </c>
      <c r="F8" s="1">
        <f t="shared" si="1"/>
        <v>1754</v>
      </c>
      <c r="G8" s="3">
        <v>0</v>
      </c>
      <c r="H8" s="3">
        <f t="shared" si="17"/>
        <v>0.0032</v>
      </c>
      <c r="I8" s="5">
        <f t="shared" si="18"/>
        <v>8.463570508503377E-05</v>
      </c>
      <c r="J8" s="5">
        <f t="shared" si="19"/>
        <v>0.0027006124743018107</v>
      </c>
      <c r="K8" s="4">
        <f t="shared" si="2"/>
        <v>0.00041475182061315565</v>
      </c>
      <c r="L8" s="4">
        <f t="shared" si="3"/>
        <v>9.216190256596489E-05</v>
      </c>
      <c r="M8" s="4">
        <f>60*B8*LN(U8/U4)</f>
        <v>0.00019133837762702488</v>
      </c>
      <c r="N8" s="4">
        <f t="shared" si="20"/>
        <v>1.7634108915991665E-08</v>
      </c>
      <c r="O8" s="4">
        <f>SUMPRODUCT($M$4:M8,L$350:$L$354)</f>
        <v>1.1656775731498194E-05</v>
      </c>
      <c r="P8" s="4">
        <f t="shared" si="21"/>
        <v>0.0001796816018955267</v>
      </c>
      <c r="Q8" s="4">
        <f>(B5/(B4*B6))*W7</f>
        <v>0.00981942774607111</v>
      </c>
      <c r="R8" s="4">
        <f>(1.558-1.399*B3*0.01)*Q8+(7.4706-0.20207*B3)*0.001*Q8^2-(1.2748-0.12015*B3)*0.00001*Q8^3+(2.4491-0.12639*B3)*0.0000001*Q8^4-(1.5468-0.15326*B3)*0.0000000001*Q8^5</f>
        <v>0.01279883110149345</v>
      </c>
      <c r="S8" s="4">
        <f aca="true" t="shared" si="27" ref="S8:S71">0.022936+0.24278*EXP(-(350-E8)/1.2679)+0.13963*EXP(-(350-E8)/5.2528)+0.089318*EXP(-(350-E8)/18.601)+0.03782*EXP(-(350-E8)/68.736)+0.035549*EXP(-(350-E8)/232.3)</f>
        <v>0.03119852617799823</v>
      </c>
      <c r="T8" s="5">
        <f>(T4+R8)*EXP(0.0423*BF7)</f>
        <v>279.9786436613999</v>
      </c>
      <c r="U8" s="4">
        <f t="shared" si="25"/>
        <v>280.00311121041705</v>
      </c>
      <c r="V8" s="4">
        <f t="shared" si="4"/>
        <v>8.425512897613362E-05</v>
      </c>
      <c r="W8" s="4">
        <f>SUMPRODUCT($J$4:J8,$S$350:S$354)</f>
        <v>0.003355711368463324</v>
      </c>
      <c r="X8" s="6">
        <f>5.35*LN(U8/U4)</f>
        <v>5.944601163208961E-05</v>
      </c>
      <c r="Y8" s="4">
        <f t="shared" si="5"/>
        <v>1754</v>
      </c>
      <c r="Z8" s="4">
        <f t="shared" si="22"/>
        <v>4</v>
      </c>
      <c r="AA8" s="21">
        <f t="shared" si="6"/>
        <v>1.48</v>
      </c>
      <c r="AB8" s="6">
        <f>AA8+B16</f>
        <v>107.8153745</v>
      </c>
      <c r="AC8" s="24">
        <f t="shared" si="26"/>
        <v>118.81246838898751</v>
      </c>
      <c r="AD8" s="4">
        <f t="shared" si="7"/>
        <v>5.685300843941275</v>
      </c>
      <c r="AE8" s="4">
        <f t="shared" si="8"/>
        <v>-10.997093888987507</v>
      </c>
      <c r="AF8" s="6">
        <f>AF7+AE7</f>
        <v>675.4846268026567</v>
      </c>
      <c r="AG8" s="30">
        <f>0.036*(SQRT(AF8)-SQRT(B12))</f>
        <v>-0.04511738608742294</v>
      </c>
      <c r="AH8" s="27">
        <v>0</v>
      </c>
      <c r="AI8" s="47">
        <f>AH8+B17</f>
        <v>1.975</v>
      </c>
      <c r="AJ8" s="4">
        <f t="shared" si="9"/>
        <v>2.1917232031196248</v>
      </c>
      <c r="AK8" s="4">
        <f>120*(AI8/AI254)^-0.055</f>
        <v>123.69960739219069</v>
      </c>
      <c r="AL8" s="4">
        <f t="shared" si="0"/>
        <v>-0.21672320311962467</v>
      </c>
      <c r="AM8" s="5">
        <f t="shared" si="23"/>
        <v>271.1152997382522</v>
      </c>
      <c r="AN8" s="26">
        <f>0.12*(SQRT(AM8)-SQRT(B13))</f>
        <v>-0.003221191388859239</v>
      </c>
      <c r="AO8" s="4">
        <f t="shared" si="10"/>
        <v>1.5445779446073808</v>
      </c>
      <c r="AP8" s="21">
        <v>0</v>
      </c>
      <c r="AQ8" s="21">
        <f t="shared" si="11"/>
        <v>1.84</v>
      </c>
      <c r="AR8" s="21">
        <f t="shared" si="12"/>
        <v>0.28</v>
      </c>
      <c r="AS8" s="35">
        <f t="shared" si="13"/>
        <v>0.1758921871418084</v>
      </c>
      <c r="AT8" s="36">
        <f>-0.32*LN(AF8/AF254)+0.0042*(AI8-AI254)-0.000105*(AQ8-AQ254)-0.000315*(AR8-AR254)</f>
        <v>0.43475069801921484</v>
      </c>
      <c r="AU8" s="4">
        <f>AU254+5*LN(AF8/AF254)+0.125*(AP8-AP254)+0.0011*(AQ8-AQ254)+0.0033*(AR8-AR254)</f>
        <v>24.05422990594977</v>
      </c>
      <c r="AV8" s="4">
        <f>0.042*(AU8-B14)</f>
        <v>-0.0397223439501096</v>
      </c>
      <c r="AW8" s="4">
        <f>0.05*0.036*(SQRT(AF8)-SQRT(B12))</f>
        <v>-0.002255869304371147</v>
      </c>
      <c r="AX8" s="21">
        <v>0</v>
      </c>
      <c r="AY8" s="36">
        <f>-0.4*(AX8/AX254)</f>
        <v>0</v>
      </c>
      <c r="AZ8" s="36">
        <f>-0.8*LN((B15+AX8)/B15)*(LN((B15+AX254)/B15))^-1</f>
        <v>0</v>
      </c>
      <c r="BA8" s="36">
        <f>-0.1*(AQ8/AQ254)</f>
        <v>-0.00021149425287356324</v>
      </c>
      <c r="BB8" s="6">
        <f t="shared" si="14"/>
        <v>-0.0904688389720044</v>
      </c>
      <c r="BC8" s="6">
        <f t="shared" si="24"/>
        <v>-0.014197978388134316</v>
      </c>
      <c r="BD8" s="4">
        <f t="shared" si="15"/>
        <v>0.8679055381386319</v>
      </c>
      <c r="BE8" s="4">
        <f>SUMPRODUCT(BC$4:BC8,$BD$350:BD$354)</f>
        <v>-0.00540708615118855</v>
      </c>
      <c r="BF8" s="23">
        <f>BE8*B7</f>
        <v>-0.00540708615118855</v>
      </c>
      <c r="BG8" s="48"/>
    </row>
    <row r="9" spans="5:59" ht="15">
      <c r="E9" s="1">
        <f t="shared" si="16"/>
        <v>5</v>
      </c>
      <c r="F9" s="1">
        <f t="shared" si="1"/>
        <v>1755</v>
      </c>
      <c r="G9" s="3">
        <v>0</v>
      </c>
      <c r="H9" s="3">
        <f t="shared" si="17"/>
        <v>0.004</v>
      </c>
      <c r="I9" s="5">
        <f t="shared" si="18"/>
        <v>9.02011279151056E-05</v>
      </c>
      <c r="J9" s="5">
        <f t="shared" si="19"/>
        <v>0.004395579705706603</v>
      </c>
      <c r="K9" s="4">
        <f t="shared" si="2"/>
        <v>-0.000485780833621708</v>
      </c>
      <c r="L9" s="4">
        <f t="shared" si="3"/>
        <v>9.308816204381756E-05</v>
      </c>
      <c r="M9" s="4">
        <f>60*B8*LN(U9/U4)</f>
        <v>0.00021684531227917137</v>
      </c>
      <c r="N9" s="4">
        <f t="shared" si="20"/>
        <v>2.0185731567885725E-08</v>
      </c>
      <c r="O9" s="4">
        <f>SUMPRODUCT($M$4:M9,L$349:$L$354)</f>
        <v>2.5348317715402163E-05</v>
      </c>
      <c r="P9" s="4">
        <f t="shared" si="21"/>
        <v>0.00019149699456376922</v>
      </c>
      <c r="Q9" s="4">
        <f>(B5/(B4*B6))*W8</f>
        <v>0.021283738403292243</v>
      </c>
      <c r="R9" s="4">
        <f>(1.558-1.399*B3*0.01)*Q9+(7.4706-0.20207*B3)*0.001*Q9^2-(1.2748-0.12015*B3)*0.00001*Q9^3+(2.4491-0.12639*B3)*0.0000001*Q9^4-(1.5468-0.15326*B3)*0.0000000001*Q9^5</f>
        <v>0.027742559801559596</v>
      </c>
      <c r="S9" s="4">
        <f t="shared" si="27"/>
        <v>0.031236718882016068</v>
      </c>
      <c r="T9" s="5">
        <f>(T4+R9)*EXP(0.0423*BF8)</f>
        <v>279.96370201010393</v>
      </c>
      <c r="U9" s="4">
        <f t="shared" si="25"/>
        <v>280.00352596223763</v>
      </c>
      <c r="V9" s="4">
        <f t="shared" si="4"/>
        <v>0.00013730348759065207</v>
      </c>
      <c r="W9" s="4">
        <f>SUMPRODUCT($J$4:J9,$S$349:S$354)</f>
        <v>0.006024008837353808</v>
      </c>
      <c r="X9" s="6">
        <f>5.35*LN(U9/U4)</f>
        <v>6.737063999381921E-05</v>
      </c>
      <c r="Y9" s="4">
        <f t="shared" si="5"/>
        <v>1755</v>
      </c>
      <c r="Z9" s="4">
        <f t="shared" si="22"/>
        <v>5</v>
      </c>
      <c r="AA9" s="21">
        <f t="shared" si="6"/>
        <v>1.85</v>
      </c>
      <c r="AB9" s="6">
        <f>AA9+B16</f>
        <v>108.1853745</v>
      </c>
      <c r="AC9" s="24">
        <f t="shared" si="26"/>
        <v>117.43480346340166</v>
      </c>
      <c r="AD9" s="4">
        <f t="shared" si="7"/>
        <v>5.658352663065132</v>
      </c>
      <c r="AE9" s="4">
        <f t="shared" si="8"/>
        <v>-9.24942896340167</v>
      </c>
      <c r="AF9" s="6">
        <f aca="true" t="shared" si="28" ref="AF9:AF16">AF8+AE8</f>
        <v>664.4875329136693</v>
      </c>
      <c r="AG9" s="30">
        <f>0.036*(SQRT(AF9)-SQRT(B12))</f>
        <v>-0.05276491635933199</v>
      </c>
      <c r="AH9" s="27">
        <v>0</v>
      </c>
      <c r="AI9" s="47">
        <f>AH9+B17</f>
        <v>1.975</v>
      </c>
      <c r="AJ9" s="4">
        <f t="shared" si="9"/>
        <v>2.1899711910664865</v>
      </c>
      <c r="AK9" s="4">
        <f>120*(AI9/AI254)^-0.055</f>
        <v>123.69960739219069</v>
      </c>
      <c r="AL9" s="4">
        <f t="shared" si="0"/>
        <v>-0.21497119106648643</v>
      </c>
      <c r="AM9" s="5">
        <f t="shared" si="23"/>
        <v>270.8985765351326</v>
      </c>
      <c r="AN9" s="26">
        <f>0.12*(SQRT(AM9)-SQRT(B13))</f>
        <v>-0.004011081115035466</v>
      </c>
      <c r="AO9" s="4">
        <f t="shared" si="10"/>
        <v>1.5526030639597659</v>
      </c>
      <c r="AP9" s="21">
        <v>0</v>
      </c>
      <c r="AQ9" s="21">
        <f t="shared" si="11"/>
        <v>2.3000000000000003</v>
      </c>
      <c r="AR9" s="21">
        <f t="shared" si="12"/>
        <v>0.35000000000000003</v>
      </c>
      <c r="AS9" s="35">
        <f t="shared" si="13"/>
        <v>0.17672988227253753</v>
      </c>
      <c r="AT9" s="36">
        <f>-0.32*LN(AF9/AF254)+0.0042*(AI9-AI254)-0.000105*(AQ9-AQ254)-0.000315*(AR9-AR254)</f>
        <v>0.4399329184254487</v>
      </c>
      <c r="AU9" s="4">
        <f>AU254+5*LN(AF9/AF254)+0.125*(AP9-AP254)+0.0011*(AQ9-AQ254)+0.0033*(AR9-AR254)</f>
        <v>23.972895493352365</v>
      </c>
      <c r="AV9" s="4">
        <f>0.042*(AU9-B14)</f>
        <v>-0.04313838927920069</v>
      </c>
      <c r="AW9" s="4">
        <f>0.05*0.036*(SQRT(AF9)-SQRT(B12))</f>
        <v>-0.0026382458179665994</v>
      </c>
      <c r="AX9" s="21">
        <v>0</v>
      </c>
      <c r="AY9" s="36">
        <f>-0.4*(AX9/AX254)</f>
        <v>0</v>
      </c>
      <c r="AZ9" s="36">
        <f>-0.8*LN((B15+AX9)/B15)*(LN((B15+AX254)/B15))^-1</f>
        <v>0</v>
      </c>
      <c r="BA9" s="36">
        <f>-0.1*(AQ9/AQ254)</f>
        <v>-0.0002643678160919541</v>
      </c>
      <c r="BB9" s="6">
        <f t="shared" si="14"/>
        <v>-0.10274962974763288</v>
      </c>
      <c r="BC9" s="6">
        <f t="shared" si="24"/>
        <v>-0.012280790775628478</v>
      </c>
      <c r="BD9" s="4">
        <f t="shared" si="15"/>
        <v>0.8676049820391194</v>
      </c>
      <c r="BE9" s="4">
        <f>SUMPRODUCT(BC$4:BC9,$BD$349:BD$354)</f>
        <v>-0.008449117684589866</v>
      </c>
      <c r="BF9" s="23">
        <f>BE9*B7</f>
        <v>-0.008449117684589866</v>
      </c>
      <c r="BG9" s="48"/>
    </row>
    <row r="10" spans="5:59" ht="15">
      <c r="E10" s="1">
        <f t="shared" si="16"/>
        <v>6</v>
      </c>
      <c r="F10" s="1">
        <f t="shared" si="1"/>
        <v>1756</v>
      </c>
      <c r="G10" s="3">
        <v>0</v>
      </c>
      <c r="H10" s="3">
        <f>H9+0.0008</f>
        <v>0.0048000000000000004</v>
      </c>
      <c r="I10" s="5">
        <f t="shared" si="18"/>
        <v>6.858189729538498E-05</v>
      </c>
      <c r="J10" s="5">
        <f t="shared" si="19"/>
        <v>0.005883764780105644</v>
      </c>
      <c r="K10" s="4">
        <f t="shared" si="2"/>
        <v>-0.0011523466774010288</v>
      </c>
      <c r="L10" s="4">
        <f t="shared" si="3"/>
        <v>9.402373145365505E-05</v>
      </c>
      <c r="M10" s="4">
        <f>60*B8*LN(U10/U4)</f>
        <v>0.00018697014130550504</v>
      </c>
      <c r="N10" s="4">
        <f t="shared" si="20"/>
        <v>1.7579630355960743E-08</v>
      </c>
      <c r="O10" s="4">
        <f>SUMPRODUCT($M$4:M10,L$348:$L$354)</f>
        <v>4.13707733474027E-05</v>
      </c>
      <c r="P10" s="4">
        <f t="shared" si="21"/>
        <v>0.00014559936795810233</v>
      </c>
      <c r="Q10" s="4">
        <f>(B5/(B4*B6))*W9</f>
        <v>0.038207525664542386</v>
      </c>
      <c r="R10" s="4">
        <f>(1.558-1.399*B3*0.01)*Q10+(7.4706-0.20207*B3)*0.001*Q10^2-(1.2748-0.12015*B3)*0.00001*Q10^3+(2.4491-0.12639*B3)*0.0000001*Q10^4-(1.5468-0.15326*B3)*0.0000000001*Q10^5</f>
        <v>0.04980453869470636</v>
      </c>
      <c r="S10" s="4">
        <f t="shared" si="27"/>
        <v>0.03127511368892415</v>
      </c>
      <c r="T10" s="5">
        <f>(T4+R10)*EXP(0.0423*BF9)</f>
        <v>279.94973327249625</v>
      </c>
      <c r="U10" s="4">
        <f t="shared" si="25"/>
        <v>280.003040181404</v>
      </c>
      <c r="V10" s="4">
        <f t="shared" si="4"/>
        <v>0.0001840154124166918</v>
      </c>
      <c r="W10" s="4">
        <f>SUMPRODUCT($J$4:J10,$S$348:S$354)</f>
        <v>0.00900501922972805</v>
      </c>
      <c r="X10" s="6">
        <f>5.35*LN(U10/U4)</f>
        <v>5.8088865039747505E-05</v>
      </c>
      <c r="Y10" s="4">
        <f t="shared" si="5"/>
        <v>1756</v>
      </c>
      <c r="Z10" s="4">
        <f t="shared" si="22"/>
        <v>6</v>
      </c>
      <c r="AA10" s="21">
        <f t="shared" si="6"/>
        <v>2.2199999999999998</v>
      </c>
      <c r="AB10" s="6">
        <f>AA10+B16</f>
        <v>108.5553745</v>
      </c>
      <c r="AC10" s="24">
        <f t="shared" si="26"/>
        <v>116.27005384927782</v>
      </c>
      <c r="AD10" s="4">
        <f t="shared" si="7"/>
        <v>5.635484651960858</v>
      </c>
      <c r="AE10" s="4">
        <f t="shared" si="8"/>
        <v>-7.714679349277816</v>
      </c>
      <c r="AF10" s="6">
        <f t="shared" si="28"/>
        <v>655.2381039502676</v>
      </c>
      <c r="AG10" s="30">
        <f>0.036*(SQRT(AF10)-SQRT(B12))</f>
        <v>-0.059246233374034965</v>
      </c>
      <c r="AH10" s="27">
        <v>0</v>
      </c>
      <c r="AI10" s="47">
        <f>AH10+B17</f>
        <v>1.975</v>
      </c>
      <c r="AJ10" s="4">
        <f t="shared" si="9"/>
        <v>2.188233342454042</v>
      </c>
      <c r="AK10" s="4">
        <f>120*(AI10/AI254)^-0.055</f>
        <v>123.69960739219069</v>
      </c>
      <c r="AL10" s="4">
        <f t="shared" si="0"/>
        <v>-0.2132333424540418</v>
      </c>
      <c r="AM10" s="5">
        <f t="shared" si="23"/>
        <v>270.6836053440661</v>
      </c>
      <c r="AN10" s="26">
        <f>0.12*(SQRT(AM10)-SQRT(B13))</f>
        <v>-0.004794897496260261</v>
      </c>
      <c r="AO10" s="4">
        <f t="shared" si="10"/>
        <v>1.5594733152179026</v>
      </c>
      <c r="AP10" s="21">
        <v>0</v>
      </c>
      <c r="AQ10" s="21">
        <f t="shared" si="11"/>
        <v>2.7600000000000002</v>
      </c>
      <c r="AR10" s="21">
        <f t="shared" si="12"/>
        <v>0.42000000000000004</v>
      </c>
      <c r="AS10" s="35">
        <f t="shared" si="13"/>
        <v>0.17744702749781274</v>
      </c>
      <c r="AT10" s="36">
        <f>-0.32*LN(AF10/AF254)+0.0042*(AI10-AI254)-0.000105*(AQ10-AQ254)-0.000315*(AR10-AR254)</f>
        <v>0.44434814580544313</v>
      </c>
      <c r="AU10" s="4">
        <f>AU254+5*LN(AF10/AF254)+0.125*(AP10-AP254)+0.0011*(AQ10-AQ254)+0.0033*(AR10-AR254)</f>
        <v>23.903545346789954</v>
      </c>
      <c r="AV10" s="4">
        <f>0.042*(AU10-B14)</f>
        <v>-0.04605109543482192</v>
      </c>
      <c r="AW10" s="4">
        <f>0.05*0.036*(SQRT(AF10)-SQRT(B12))</f>
        <v>-0.0029623116687017485</v>
      </c>
      <c r="AX10" s="21">
        <v>0</v>
      </c>
      <c r="AY10" s="36">
        <f>-0.4*(AX10/AX254)</f>
        <v>0</v>
      </c>
      <c r="AZ10" s="36">
        <f>-0.8*LN((B15+AX10)/B15)*(LN((B15+AX254)/B15))^-1</f>
        <v>0</v>
      </c>
      <c r="BA10" s="36">
        <f>-0.1*(AQ10/AQ254)</f>
        <v>-0.00031724137931034486</v>
      </c>
      <c r="BB10" s="6">
        <f t="shared" si="14"/>
        <v>-0.1133136904880895</v>
      </c>
      <c r="BC10" s="6">
        <f t="shared" si="24"/>
        <v>-0.010564060740456613</v>
      </c>
      <c r="BD10" s="4">
        <f t="shared" si="15"/>
        <v>0.8673037420806141</v>
      </c>
      <c r="BE10" s="4">
        <f>SUMPRODUCT(BC$4:BC10,$BD$348:BD$354)</f>
        <v>-0.011883108001740151</v>
      </c>
      <c r="BF10" s="23">
        <f>BE10*B7</f>
        <v>-0.011883108001740151</v>
      </c>
      <c r="BG10" s="48"/>
    </row>
    <row r="11" spans="1:59" ht="15">
      <c r="A11" s="10" t="s">
        <v>105</v>
      </c>
      <c r="E11" s="1">
        <f t="shared" si="16"/>
        <v>7</v>
      </c>
      <c r="F11" s="1">
        <f t="shared" si="1"/>
        <v>1757</v>
      </c>
      <c r="G11" s="3">
        <v>0</v>
      </c>
      <c r="H11" s="3">
        <f t="shared" si="17"/>
        <v>0.005600000000000001</v>
      </c>
      <c r="I11" s="5">
        <f t="shared" si="18"/>
        <v>2.8644522374185146E-05</v>
      </c>
      <c r="J11" s="5">
        <f t="shared" si="19"/>
        <v>0.007525249262876892</v>
      </c>
      <c r="K11" s="4">
        <f t="shared" si="2"/>
        <v>-0.001953893785251076</v>
      </c>
      <c r="L11" s="4">
        <f t="shared" si="3"/>
        <v>9.496870440642795E-05</v>
      </c>
      <c r="M11" s="4">
        <f>60*B8*LN(U11/U4)</f>
        <v>0.0001161014442905182</v>
      </c>
      <c r="N11" s="4">
        <f t="shared" si="20"/>
        <v>1.1026003743985586E-08</v>
      </c>
      <c r="O11" s="4">
        <f>SUMPRODUCT($M$4:M11,L$347:$L$354)</f>
        <v>5.5289123290123125E-05</v>
      </c>
      <c r="P11" s="4">
        <f t="shared" si="21"/>
        <v>6.0812321000395074E-05</v>
      </c>
      <c r="Q11" s="4">
        <f>(B5/(B4*B6))*W10</f>
        <v>0.05711470760070609</v>
      </c>
      <c r="R11" s="4">
        <f>(1.558-1.399*B3*0.01)*Q11+(7.4706-0.20207*B3)*0.001*Q11^2-(1.2748-0.12015*B3)*0.00001*Q11^3+(2.4491-0.12639*B3)*0.0000001*Q11^4-(1.5468-0.15326*B3)*0.0000000001*Q11^5</f>
        <v>0.07445465638653782</v>
      </c>
      <c r="S11" s="4">
        <f t="shared" si="27"/>
        <v>0.031313712017861366</v>
      </c>
      <c r="T11" s="5">
        <f>(T4+R11)*EXP(0.0423*BF10)</f>
        <v>279.9337090764049</v>
      </c>
      <c r="U11" s="4">
        <f t="shared" si="25"/>
        <v>280.0018878347266</v>
      </c>
      <c r="V11" s="4">
        <f t="shared" si="4"/>
        <v>0.0002356434882803505</v>
      </c>
      <c r="W11" s="4">
        <f>SUMPRODUCT($J$4:J11,$S$347:S$354)</f>
        <v>0.0124932260977129</v>
      </c>
      <c r="X11" s="6">
        <f>5.35*LN(U11/U4)</f>
        <v>3.60710062110495E-05</v>
      </c>
      <c r="Y11" s="4">
        <f t="shared" si="5"/>
        <v>1757</v>
      </c>
      <c r="Z11" s="4">
        <f t="shared" si="22"/>
        <v>7</v>
      </c>
      <c r="AA11" s="21">
        <f t="shared" si="6"/>
        <v>2.59</v>
      </c>
      <c r="AB11" s="6">
        <f>AA11+B16</f>
        <v>108.9253745</v>
      </c>
      <c r="AC11" s="24">
        <f t="shared" si="26"/>
        <v>115.2939116817189</v>
      </c>
      <c r="AD11" s="4">
        <f aca="true" t="shared" si="29" ref="AD11:AD67">1/AS11</f>
        <v>5.6162846342532555</v>
      </c>
      <c r="AE11" s="4">
        <f t="shared" si="8"/>
        <v>-6.368537181718892</v>
      </c>
      <c r="AF11" s="6">
        <f t="shared" si="28"/>
        <v>647.5234246009898</v>
      </c>
      <c r="AG11" s="30">
        <f>0.036*(SQRT(AF11)-SQRT(B12))</f>
        <v>-0.06468718448997472</v>
      </c>
      <c r="AH11" s="27">
        <v>0</v>
      </c>
      <c r="AI11" s="47">
        <f>AH11+B17</f>
        <v>1.975</v>
      </c>
      <c r="AJ11" s="4">
        <f t="shared" si="9"/>
        <v>2.1865095427836194</v>
      </c>
      <c r="AK11" s="4">
        <f>120*(AI11/AI254)^-0.055</f>
        <v>123.69960739219069</v>
      </c>
      <c r="AL11" s="4">
        <f t="shared" si="0"/>
        <v>-0.21150954278361933</v>
      </c>
      <c r="AM11" s="5">
        <f t="shared" si="23"/>
        <v>270.4703720016121</v>
      </c>
      <c r="AN11" s="26">
        <f>0.12*(SQRT(AM11)-SQRT(B13))</f>
        <v>-0.005572684968718704</v>
      </c>
      <c r="AO11" s="4">
        <f t="shared" si="10"/>
        <v>1.5652847953470759</v>
      </c>
      <c r="AP11" s="21">
        <v>0</v>
      </c>
      <c r="AQ11" s="21">
        <f t="shared" si="11"/>
        <v>3.22</v>
      </c>
      <c r="AR11" s="21">
        <f t="shared" si="12"/>
        <v>0.49000000000000005</v>
      </c>
      <c r="AS11" s="35">
        <f t="shared" si="13"/>
        <v>0.17805365381609806</v>
      </c>
      <c r="AT11" s="36">
        <f>-0.32*LN(AF11/AF254)+0.0042*(AI11-AI254)-0.000105*(AQ11-AQ254)-0.000315*(AR11-AR254)</f>
        <v>0.4480677852937112</v>
      </c>
      <c r="AU11" s="4">
        <f>AU254+5*LN(AF11/AF254)+0.125*(AP11-AP254)+0.0011*(AQ11-AQ254)+0.0033*(AR11-AR254)</f>
        <v>23.84506376103576</v>
      </c>
      <c r="AV11" s="4">
        <f>0.042*(AU11-B14)</f>
        <v>-0.04850732203649807</v>
      </c>
      <c r="AW11" s="4">
        <f>0.05*0.036*(SQRT(AF11)-SQRT(B12))</f>
        <v>-0.003234359224498736</v>
      </c>
      <c r="AX11" s="21">
        <v>0</v>
      </c>
      <c r="AY11" s="36">
        <f>-0.4*(AX11/AX254)</f>
        <v>0</v>
      </c>
      <c r="AZ11" s="36">
        <f>-0.8*LN((B15+AX11)/B15)*(LN((B15+AX254)/B15))^-1</f>
        <v>0</v>
      </c>
      <c r="BA11" s="36">
        <f>-0.1*(AQ11/AQ254)</f>
        <v>-0.00037011494252873567</v>
      </c>
      <c r="BB11" s="6">
        <f t="shared" si="14"/>
        <v>-0.12233559465600792</v>
      </c>
      <c r="BC11" s="6">
        <f t="shared" si="24"/>
        <v>-0.009021904167918426</v>
      </c>
      <c r="BD11" s="4">
        <f t="shared" si="15"/>
        <v>0.867001816707114</v>
      </c>
      <c r="BE11" s="4">
        <f>SUMPRODUCT(BC$4:BC11,$BD$347:BD$354)</f>
        <v>-0.01560037625873928</v>
      </c>
      <c r="BF11" s="23">
        <f>BE11*B7</f>
        <v>-0.01560037625873928</v>
      </c>
      <c r="BG11" s="48"/>
    </row>
    <row r="12" spans="1:59" ht="15">
      <c r="A12" s="1" t="s">
        <v>31</v>
      </c>
      <c r="B12" s="1">
        <v>742.2</v>
      </c>
      <c r="C12" s="1" t="s">
        <v>32</v>
      </c>
      <c r="E12" s="1">
        <f t="shared" si="16"/>
        <v>8</v>
      </c>
      <c r="F12" s="1">
        <f t="shared" si="1"/>
        <v>1758</v>
      </c>
      <c r="G12" s="3">
        <v>0</v>
      </c>
      <c r="H12" s="3">
        <f t="shared" si="17"/>
        <v>0.006400000000000001</v>
      </c>
      <c r="I12" s="5">
        <f t="shared" si="18"/>
        <v>-3.159029905225994E-05</v>
      </c>
      <c r="J12" s="5">
        <f t="shared" si="19"/>
        <v>0.008985622695942231</v>
      </c>
      <c r="K12" s="4">
        <f t="shared" si="2"/>
        <v>-0.00255403239688997</v>
      </c>
      <c r="L12" s="4">
        <f t="shared" si="3"/>
        <v>9.592317545617824E-05</v>
      </c>
      <c r="M12" s="4">
        <f>60*B8*LN(U12/U4)</f>
        <v>-4.062632586478857E-06</v>
      </c>
      <c r="N12" s="4">
        <f t="shared" si="20"/>
        <v>-3.897006184067986E-10</v>
      </c>
      <c r="O12" s="4">
        <f>SUMPRODUCT($M$4:M12,L$346:$L$354)</f>
        <v>6.3003572301469E-05</v>
      </c>
      <c r="P12" s="4">
        <f t="shared" si="21"/>
        <v>-6.706620488794786E-05</v>
      </c>
      <c r="Q12" s="4">
        <f>(B5/(B4*B6))*W11</f>
        <v>0.07923880419985861</v>
      </c>
      <c r="R12" s="4">
        <f>(1.558-1.399*B3*0.01)*Q12+(7.4706-0.20207*B3)*0.001*Q12^2-(1.2748-0.12015*B3)*0.00001*Q12^3+(2.4491-0.12639*B3)*0.0000001*Q12^4-(1.5468-0.15326*B3)*0.0000000001*Q12^5</f>
        <v>0.10330225061187359</v>
      </c>
      <c r="S12" s="4">
        <f t="shared" si="27"/>
        <v>0.03135251530211347</v>
      </c>
      <c r="T12" s="5">
        <f>(T4+R12)*EXP(0.0423*BF11)</f>
        <v>279.9185241993161</v>
      </c>
      <c r="U12" s="4">
        <f t="shared" si="25"/>
        <v>279.99993394094133</v>
      </c>
      <c r="V12" s="4">
        <f t="shared" si="4"/>
        <v>0.0002817218730735469</v>
      </c>
      <c r="W12" s="4">
        <f>SUMPRODUCT($J$4:J12,$S$346:S$354)</f>
        <v>0.01619024633109621</v>
      </c>
      <c r="X12" s="6">
        <f>5.35*LN(U12/U4)</f>
        <v>-1.262200019608704E-06</v>
      </c>
      <c r="Y12" s="4">
        <f t="shared" si="5"/>
        <v>1758</v>
      </c>
      <c r="Z12" s="4">
        <f t="shared" si="22"/>
        <v>8</v>
      </c>
      <c r="AA12" s="21">
        <f t="shared" si="6"/>
        <v>2.96</v>
      </c>
      <c r="AB12" s="6">
        <f>AA12+B16</f>
        <v>109.2953745</v>
      </c>
      <c r="AC12" s="24">
        <f t="shared" si="26"/>
        <v>114.48443869362104</v>
      </c>
      <c r="AD12" s="4">
        <f t="shared" si="29"/>
        <v>5.600367130550428</v>
      </c>
      <c r="AE12" s="4">
        <f t="shared" si="8"/>
        <v>-5.18906419362105</v>
      </c>
      <c r="AF12" s="6">
        <f t="shared" si="28"/>
        <v>641.1548874192708</v>
      </c>
      <c r="AG12" s="30">
        <f>0.036*(SQRT(AF12)-SQRT(B12))</f>
        <v>-0.06920320866074607</v>
      </c>
      <c r="AH12" s="27">
        <v>0</v>
      </c>
      <c r="AI12" s="47">
        <f>AH12+B17</f>
        <v>1.975</v>
      </c>
      <c r="AJ12" s="4">
        <f t="shared" si="9"/>
        <v>2.1847996784821664</v>
      </c>
      <c r="AK12" s="4">
        <f>120*(AI12/AI254)^-0.055</f>
        <v>123.69960739219069</v>
      </c>
      <c r="AL12" s="4">
        <f t="shared" si="0"/>
        <v>-0.2097996784821663</v>
      </c>
      <c r="AM12" s="5">
        <f t="shared" si="23"/>
        <v>270.25886245882845</v>
      </c>
      <c r="AN12" s="26">
        <f>0.12*(SQRT(AM12)-SQRT(B13))</f>
        <v>-0.0063444876763313115</v>
      </c>
      <c r="AO12" s="4">
        <f t="shared" si="10"/>
        <v>1.5701329320914759</v>
      </c>
      <c r="AP12" s="21">
        <v>0</v>
      </c>
      <c r="AQ12" s="21">
        <f t="shared" si="11"/>
        <v>3.68</v>
      </c>
      <c r="AR12" s="21">
        <f t="shared" si="12"/>
        <v>0.56</v>
      </c>
      <c r="AS12" s="35">
        <f t="shared" si="13"/>
        <v>0.17855972236979326</v>
      </c>
      <c r="AT12" s="36">
        <f>-0.32*LN(AF12/AF254)+0.0042*(AI12-AI254)-0.000105*(AQ12-AQ254)-0.000315*(AR12-AR254)</f>
        <v>0.45116028589786333</v>
      </c>
      <c r="AU12" s="4">
        <f>AU254+5*LN(AF12/AF254)+0.125*(AP12-AP254)+0.0011*(AQ12-AQ254)+0.0033*(AR12-AR254)</f>
        <v>23.796381220345886</v>
      </c>
      <c r="AV12" s="4">
        <f>0.042*(AU12-B14)</f>
        <v>-0.0505519887454728</v>
      </c>
      <c r="AW12" s="4">
        <f>0.05*0.036*(SQRT(AF12)-SQRT(B12))</f>
        <v>-0.0034601604330373034</v>
      </c>
      <c r="AX12" s="21">
        <v>0</v>
      </c>
      <c r="AY12" s="36">
        <f>-0.4*(AX12/AX254)</f>
        <v>0</v>
      </c>
      <c r="AZ12" s="36">
        <f>-0.8*LN((B15+AX12)/B15)*(LN((B15+AX254)/B15))^-1</f>
        <v>0</v>
      </c>
      <c r="BA12" s="36">
        <f>-0.1*(AQ12/AQ254)</f>
        <v>-0.0004229885057471265</v>
      </c>
      <c r="BB12" s="6">
        <f>BA12+AZ12+AY12+AW12+AV12+AN12+AG12+X12</f>
        <v>-0.12998409622135423</v>
      </c>
      <c r="BC12" s="6">
        <f t="shared" si="24"/>
        <v>-0.007648501565346313</v>
      </c>
      <c r="BD12" s="4">
        <f t="shared" si="15"/>
        <v>0.8666992043590762</v>
      </c>
      <c r="BE12" s="4">
        <f>SUMPRODUCT(BC$4:BC12,$BD$346:BD$354)</f>
        <v>-0.01950788866626248</v>
      </c>
      <c r="BF12" s="23">
        <f>BE12*B7</f>
        <v>-0.01950788866626248</v>
      </c>
      <c r="BG12" s="48"/>
    </row>
    <row r="13" spans="1:59" ht="15">
      <c r="A13" s="1" t="s">
        <v>33</v>
      </c>
      <c r="B13" s="1">
        <v>272</v>
      </c>
      <c r="C13" s="1" t="s">
        <v>32</v>
      </c>
      <c r="E13" s="1">
        <f t="shared" si="16"/>
        <v>9</v>
      </c>
      <c r="F13" s="1">
        <f t="shared" si="1"/>
        <v>1759</v>
      </c>
      <c r="G13" s="3">
        <v>0</v>
      </c>
      <c r="H13" s="3">
        <f>H12+0.0008</f>
        <v>0.0072000000000000015</v>
      </c>
      <c r="I13" s="5">
        <f t="shared" si="18"/>
        <v>-0.00010439276190513202</v>
      </c>
      <c r="J13" s="5">
        <f t="shared" si="19"/>
        <v>0.010437712430634556</v>
      </c>
      <c r="K13" s="4">
        <f t="shared" si="2"/>
        <v>-0.0031333196687294224</v>
      </c>
      <c r="L13" s="4">
        <f t="shared" si="3"/>
        <v>9.688724010963441E-05</v>
      </c>
      <c r="M13" s="4">
        <f>60*B8*LN(U13/U4)</f>
        <v>-0.00016113637843471863</v>
      </c>
      <c r="N13" s="4">
        <f t="shared" si="20"/>
        <v>-1.56120589878015E-08</v>
      </c>
      <c r="O13" s="4">
        <f>SUMPRODUCT($M$4:M13,L$345:$L$354)</f>
        <v>6.0489455089876675E-05</v>
      </c>
      <c r="P13" s="4">
        <f t="shared" si="21"/>
        <v>-0.0002216258335245953</v>
      </c>
      <c r="Q13" s="4">
        <f>(B5/(B4*B6))*W12</f>
        <v>0.1026873082215384</v>
      </c>
      <c r="R13" s="4">
        <f>(1.558-1.399*B3*0.01)*Q13+(7.4706-0.20207*B3)*0.001*Q13^2-(1.2748-0.12015*B3)*0.00001*Q13^3+(2.4491-0.12639*B3)*0.0000001*Q13^4-(1.5468-0.15326*B3)*0.0000000001*Q13^5</f>
        <v>0.13388079424382177</v>
      </c>
      <c r="S13" s="4">
        <f t="shared" si="27"/>
        <v>0.03139152498929193</v>
      </c>
      <c r="T13" s="5">
        <f>(T4+R13)*EXP(0.0423*BF12)</f>
        <v>279.90281423392287</v>
      </c>
      <c r="U13" s="4">
        <f t="shared" si="25"/>
        <v>279.9973799085444</v>
      </c>
      <c r="V13" s="4">
        <f t="shared" si="4"/>
        <v>0.00032765571059730766</v>
      </c>
      <c r="W13" s="4">
        <f>SUMPRODUCT($J$4:J13,$S$345:S$354)</f>
        <v>0.020155882674287307</v>
      </c>
      <c r="X13" s="6">
        <f>5.35*LN(U13/U4)</f>
        <v>-5.0062695971297604E-05</v>
      </c>
      <c r="Y13" s="4">
        <f t="shared" si="5"/>
        <v>1759</v>
      </c>
      <c r="Z13" s="4">
        <f t="shared" si="22"/>
        <v>9</v>
      </c>
      <c r="AA13" s="21">
        <f t="shared" si="6"/>
        <v>3.33</v>
      </c>
      <c r="AB13" s="6">
        <f>AA13+B16</f>
        <v>109.6653745</v>
      </c>
      <c r="AC13" s="24">
        <f t="shared" si="26"/>
        <v>113.821928651594</v>
      </c>
      <c r="AD13" s="4">
        <f t="shared" si="29"/>
        <v>5.587375216355055</v>
      </c>
      <c r="AE13" s="4">
        <f t="shared" si="8"/>
        <v>-4.156554151594008</v>
      </c>
      <c r="AF13" s="6">
        <f t="shared" si="28"/>
        <v>635.9658232256497</v>
      </c>
      <c r="AG13" s="30">
        <f>0.036*(SQRT(AF13)-SQRT(B12))</f>
        <v>-0.07289945977646735</v>
      </c>
      <c r="AH13" s="27">
        <v>0</v>
      </c>
      <c r="AI13" s="47">
        <f>AH13+B17</f>
        <v>1.975</v>
      </c>
      <c r="AJ13" s="4">
        <f t="shared" si="9"/>
        <v>2.1831036368947667</v>
      </c>
      <c r="AK13" s="4">
        <f>120*(AI13/AI254)^-0.055</f>
        <v>123.69960739219069</v>
      </c>
      <c r="AL13" s="4">
        <f t="shared" si="0"/>
        <v>-0.20810363689476663</v>
      </c>
      <c r="AM13" s="5">
        <f t="shared" si="23"/>
        <v>270.0490627803463</v>
      </c>
      <c r="AN13" s="26">
        <f>0.12*(SQRT(AM13)-SQRT(B13))</f>
        <v>-0.007110349472213357</v>
      </c>
      <c r="AO13" s="4">
        <f t="shared" si="10"/>
        <v>1.5741104699099813</v>
      </c>
      <c r="AP13" s="21">
        <v>0</v>
      </c>
      <c r="AQ13" s="21">
        <f t="shared" si="11"/>
        <v>4.140000000000001</v>
      </c>
      <c r="AR13" s="21">
        <f t="shared" si="12"/>
        <v>0.6300000000000001</v>
      </c>
      <c r="AS13" s="35">
        <f t="shared" si="13"/>
        <v>0.17897491420888567</v>
      </c>
      <c r="AT13" s="36">
        <f>-0.32*LN(AF13/AF254)+0.0042*(AI13-AI254)-0.000105*(AQ13-AQ254)-0.000315*(AR13-AR254)</f>
        <v>0.45369033171919</v>
      </c>
      <c r="AU13" s="4">
        <f>AU254+5*LN(AF13/AF254)+0.125*(AP13-AP254)+0.0011*(AQ13-AQ254)+0.0033*(AR13-AR254)</f>
        <v>23.756487035637658</v>
      </c>
      <c r="AV13" s="4">
        <f>0.042*(AU13-B14)</f>
        <v>-0.052227544503218364</v>
      </c>
      <c r="AW13" s="4">
        <f>0.05*0.036*(SQRT(AF13)-SQRT(B12))</f>
        <v>-0.0036449729888233676</v>
      </c>
      <c r="AX13" s="21">
        <v>0</v>
      </c>
      <c r="AY13" s="36">
        <f>-0.4*(AX13/AX254)</f>
        <v>0</v>
      </c>
      <c r="AZ13" s="36">
        <f>-0.8*LN((B15+AX13)/B15)*(LN((B15+AX254)/B15))^-1</f>
        <v>0</v>
      </c>
      <c r="BA13" s="36">
        <f>-0.1*(AQ13/AQ254)</f>
        <v>-0.00047586206896551734</v>
      </c>
      <c r="BB13" s="6">
        <f t="shared" si="14"/>
        <v>-0.13640825150565924</v>
      </c>
      <c r="BC13" s="6">
        <f t="shared" si="24"/>
        <v>-0.006424155284305011</v>
      </c>
      <c r="BD13" s="4">
        <f t="shared" si="15"/>
        <v>0.8663959034734086</v>
      </c>
      <c r="BE13" s="4">
        <f>SUMPRODUCT(BC$4:BC13,$BD$345:BD$354)</f>
        <v>-0.023526935349525855</v>
      </c>
      <c r="BF13" s="23">
        <f>BE13*B7</f>
        <v>-0.023526935349525855</v>
      </c>
      <c r="BG13" s="48"/>
    </row>
    <row r="14" spans="1:59" ht="15">
      <c r="A14" s="1" t="s">
        <v>34</v>
      </c>
      <c r="B14" s="1">
        <v>25</v>
      </c>
      <c r="C14" s="1" t="s">
        <v>35</v>
      </c>
      <c r="E14" s="1">
        <f t="shared" si="16"/>
        <v>10</v>
      </c>
      <c r="F14" s="1">
        <f t="shared" si="1"/>
        <v>1760</v>
      </c>
      <c r="G14" s="3">
        <v>0</v>
      </c>
      <c r="H14" s="3">
        <f t="shared" si="17"/>
        <v>0.008000000000000002</v>
      </c>
      <c r="I14" s="5">
        <f t="shared" si="18"/>
        <v>-0.00018778317460077512</v>
      </c>
      <c r="J14" s="5">
        <f t="shared" si="19"/>
        <v>0.011726386863096702</v>
      </c>
      <c r="K14" s="4">
        <f t="shared" si="2"/>
        <v>-0.0035386036884959247</v>
      </c>
      <c r="L14" s="4">
        <f t="shared" si="3"/>
        <v>9.786099483590977E-05</v>
      </c>
      <c r="M14" s="4">
        <f>60*B8*LN(U14/U4)</f>
        <v>-0.0003538384194755766</v>
      </c>
      <c r="N14" s="4">
        <f t="shared" si="20"/>
        <v>-3.462697974104588E-08</v>
      </c>
      <c r="O14" s="4">
        <f>SUMPRODUCT($M$4:M14,L$344:$L$354)</f>
        <v>4.482526020186904E-05</v>
      </c>
      <c r="P14" s="4">
        <f t="shared" si="21"/>
        <v>-0.0003986636796774456</v>
      </c>
      <c r="Q14" s="4">
        <f>(B5/(B4*B6))*W13</f>
        <v>0.12783952105017585</v>
      </c>
      <c r="R14" s="4">
        <f>(1.558-1.399*B3*0.01)*Q14+(7.4706-0.20207*B3)*0.001*Q14^2-(1.2748-0.12015*B3)*0.00001*Q14^3+(2.4491-0.12639*B3)*0.0000001*Q14^4-(1.5468-0.15326*B3)*0.0000000001*Q14^5</f>
        <v>0.1666857372560766</v>
      </c>
      <c r="S14" s="4">
        <f t="shared" si="27"/>
        <v>0.031430742541515365</v>
      </c>
      <c r="T14" s="5">
        <f>(T4+R14)*EXP(0.0423*BF13)</f>
        <v>279.888005523896</v>
      </c>
      <c r="U14" s="4">
        <f t="shared" si="25"/>
        <v>279.9942465888757</v>
      </c>
      <c r="V14" s="4">
        <f t="shared" si="4"/>
        <v>0.00036856904643620044</v>
      </c>
      <c r="W14" s="4">
        <f>SUMPRODUCT($J$4:J14,$S$344:S$354)</f>
        <v>0.02422245286556019</v>
      </c>
      <c r="X14" s="6">
        <f>5.35*LN(U14/U4)</f>
        <v>-0.00010993237771163384</v>
      </c>
      <c r="Y14" s="4">
        <f t="shared" si="5"/>
        <v>1760</v>
      </c>
      <c r="Z14" s="4">
        <f t="shared" si="22"/>
        <v>10</v>
      </c>
      <c r="AA14" s="21">
        <f t="shared" si="6"/>
        <v>3.7</v>
      </c>
      <c r="AB14" s="6">
        <f>AA14+B16</f>
        <v>110.0353745</v>
      </c>
      <c r="AC14" s="24">
        <f t="shared" si="26"/>
        <v>113.28875543518325</v>
      </c>
      <c r="AD14" s="4">
        <f t="shared" si="29"/>
        <v>5.576981286863351</v>
      </c>
      <c r="AE14" s="4">
        <f t="shared" si="8"/>
        <v>-3.2533809351832446</v>
      </c>
      <c r="AF14" s="6">
        <f t="shared" si="28"/>
        <v>631.8092690740557</v>
      </c>
      <c r="AG14" s="30">
        <f>0.036*(SQRT(AF14)-SQRT(B12))</f>
        <v>-0.07587112869461443</v>
      </c>
      <c r="AH14" s="27">
        <v>0</v>
      </c>
      <c r="AI14" s="47">
        <f>AH14+B17</f>
        <v>1.975</v>
      </c>
      <c r="AJ14" s="4">
        <f t="shared" si="9"/>
        <v>2.181421306277217</v>
      </c>
      <c r="AK14" s="4">
        <f>120*(AI14/AI254)^-0.055</f>
        <v>123.69960739219069</v>
      </c>
      <c r="AL14" s="4">
        <f t="shared" si="0"/>
        <v>-0.2064213062772171</v>
      </c>
      <c r="AM14" s="5">
        <f t="shared" si="23"/>
        <v>269.8409591434515</v>
      </c>
      <c r="AN14" s="26">
        <f>0.12*(SQRT(AM14)-SQRT(B13))</f>
        <v>-0.007870313920133327</v>
      </c>
      <c r="AO14" s="4">
        <f t="shared" si="10"/>
        <v>1.5773059657105997</v>
      </c>
      <c r="AP14" s="21">
        <v>0</v>
      </c>
      <c r="AQ14" s="21">
        <f t="shared" si="11"/>
        <v>4.6000000000000005</v>
      </c>
      <c r="AR14" s="21">
        <f t="shared" si="12"/>
        <v>0.7000000000000001</v>
      </c>
      <c r="AS14" s="35">
        <f t="shared" si="13"/>
        <v>0.17930847326949303</v>
      </c>
      <c r="AT14" s="36">
        <f>-0.32*LN(AF14/AF254)+0.0042*(AI14-AI254)-0.000105*(AQ14-AQ254)-0.000315*(AR14-AR254)</f>
        <v>0.4557183067336446</v>
      </c>
      <c r="AU14" s="4">
        <f>AU254+5*LN(AF14/AF254)+0.125*(AP14-AP254)+0.0011*(AQ14-AQ254)+0.0033*(AR14-AR254)</f>
        <v>23.724437707286803</v>
      </c>
      <c r="AV14" s="4">
        <f>0.042*(AU14-B14)</f>
        <v>-0.05357361629395426</v>
      </c>
      <c r="AW14" s="4">
        <f>0.05*0.036*(SQRT(AF14)-SQRT(B12))</f>
        <v>-0.003793556434730722</v>
      </c>
      <c r="AX14" s="21">
        <v>0</v>
      </c>
      <c r="AY14" s="36">
        <f>-0.4*(AX14/AX254)</f>
        <v>0</v>
      </c>
      <c r="AZ14" s="36">
        <f>-0.8*LN((B15+AX14)/B15)*(LN((B15+AX254)/B15))^-1</f>
        <v>0</v>
      </c>
      <c r="BA14" s="36">
        <f>-0.1*(AQ14/AQ254)</f>
        <v>-0.0005287356321839082</v>
      </c>
      <c r="BB14" s="6">
        <f t="shared" si="14"/>
        <v>-0.14174728335332828</v>
      </c>
      <c r="BC14" s="6">
        <f t="shared" si="24"/>
        <v>-0.00533903184766904</v>
      </c>
      <c r="BD14" s="4">
        <f t="shared" si="15"/>
        <v>0.8660919124834617</v>
      </c>
      <c r="BE14" s="4">
        <f>SUMPRODUCT(BC$4:BC14,$BD$344:BD$354)</f>
        <v>-0.02759122552154914</v>
      </c>
      <c r="BF14" s="23">
        <f>BE14*B7</f>
        <v>-0.02759122552154914</v>
      </c>
      <c r="BG14" s="48"/>
    </row>
    <row r="15" spans="1:59" ht="15">
      <c r="A15" s="1" t="s">
        <v>36</v>
      </c>
      <c r="B15" s="1">
        <v>42</v>
      </c>
      <c r="C15" s="1" t="s">
        <v>37</v>
      </c>
      <c r="E15" s="1">
        <f t="shared" si="16"/>
        <v>11</v>
      </c>
      <c r="F15" s="1">
        <f t="shared" si="1"/>
        <v>1761</v>
      </c>
      <c r="G15" s="3">
        <v>0</v>
      </c>
      <c r="H15" s="3">
        <f t="shared" si="17"/>
        <v>0.008800000000000002</v>
      </c>
      <c r="I15" s="5">
        <f t="shared" si="18"/>
        <v>-0.00027573965654687426</v>
      </c>
      <c r="J15" s="5">
        <f t="shared" si="19"/>
        <v>0.012937183403378074</v>
      </c>
      <c r="K15" s="4">
        <f t="shared" si="2"/>
        <v>-0.0038614437468311967</v>
      </c>
      <c r="L15" s="4">
        <f t="shared" si="3"/>
        <v>9.884453707630355E-05</v>
      </c>
      <c r="M15" s="4">
        <f>60*B8*LN(U15/U4)</f>
        <v>-0.0005714683933464385</v>
      </c>
      <c r="N15" s="4">
        <f t="shared" si="20"/>
        <v>-5.648652879406766E-08</v>
      </c>
      <c r="O15" s="4">
        <f>SUMPRODUCT($M$4:M15,L$343:$L$354)</f>
        <v>1.3926897502575534E-05</v>
      </c>
      <c r="P15" s="4">
        <f t="shared" si="21"/>
        <v>-0.0005853952908490141</v>
      </c>
      <c r="Q15" s="4">
        <f>(B5/(B4*B6))*W14</f>
        <v>0.1536319109926138</v>
      </c>
      <c r="R15" s="4">
        <f>(1.558-1.399*B3*0.01)*Q15+(7.4706-0.20207*B3)*0.001*Q15^2-(1.2748-0.12015*B3)*0.00001*Q15^3+(2.4491-0.12639*B3)*0.0000001*Q15^4-(1.5468-0.15326*B3)*0.0000000001*Q15^5</f>
        <v>0.20033062402704604</v>
      </c>
      <c r="S15" s="4">
        <f t="shared" si="27"/>
        <v>0.03147016943559347</v>
      </c>
      <c r="T15" s="5">
        <f>(T4+R15)*EXP(0.0423*BF14)</f>
        <v>279.8734971035526</v>
      </c>
      <c r="U15" s="4">
        <f t="shared" si="25"/>
        <v>279.9907079851872</v>
      </c>
      <c r="V15" s="4">
        <f t="shared" si="4"/>
        <v>0.00040713535372365576</v>
      </c>
      <c r="W15" s="4">
        <f>SUMPRODUCT($J$4:J15,$S$343:S$354)</f>
        <v>0.028396559033997487</v>
      </c>
      <c r="X15" s="6">
        <f>5.35*LN(U15/U4)</f>
        <v>-0.000177546800488005</v>
      </c>
      <c r="Y15" s="4">
        <f t="shared" si="5"/>
        <v>1761</v>
      </c>
      <c r="Z15" s="4">
        <f t="shared" si="22"/>
        <v>11</v>
      </c>
      <c r="AA15" s="21">
        <f t="shared" si="6"/>
        <v>4.07</v>
      </c>
      <c r="AB15" s="6">
        <f>AA15+B16</f>
        <v>110.4053745</v>
      </c>
      <c r="AC15" s="24">
        <f t="shared" si="26"/>
        <v>112.86921332753697</v>
      </c>
      <c r="AD15" s="4">
        <f t="shared" si="29"/>
        <v>5.568886940984129</v>
      </c>
      <c r="AE15" s="4">
        <f t="shared" si="8"/>
        <v>-2.463838827536975</v>
      </c>
      <c r="AF15" s="6">
        <f t="shared" si="28"/>
        <v>628.5558881388724</v>
      </c>
      <c r="AG15" s="30">
        <f>0.036*(SQRT(AF15)-SQRT(B12))</f>
        <v>-0.0782039130158373</v>
      </c>
      <c r="AH15" s="27">
        <v>0</v>
      </c>
      <c r="AI15" s="47">
        <f>AH15+B17</f>
        <v>1.975</v>
      </c>
      <c r="AJ15" s="4">
        <f t="shared" si="9"/>
        <v>2.1797525757886658</v>
      </c>
      <c r="AK15" s="4">
        <f>120*(AI15/AI254)^-0.055</f>
        <v>123.69960739219069</v>
      </c>
      <c r="AL15" s="4">
        <f t="shared" si="0"/>
        <v>-0.20475257578866568</v>
      </c>
      <c r="AM15" s="5">
        <f t="shared" si="23"/>
        <v>269.6345378371743</v>
      </c>
      <c r="AN15" s="26">
        <f>0.12*(SQRT(AM15)-SQRT(B13))</f>
        <v>-0.008624424295969248</v>
      </c>
      <c r="AO15" s="4">
        <f t="shared" si="10"/>
        <v>1.579802742274357</v>
      </c>
      <c r="AP15" s="21">
        <v>0</v>
      </c>
      <c r="AQ15" s="21">
        <f t="shared" si="11"/>
        <v>5.0600000000000005</v>
      </c>
      <c r="AR15" s="21">
        <f t="shared" si="12"/>
        <v>0.77</v>
      </c>
      <c r="AS15" s="35">
        <f t="shared" si="13"/>
        <v>0.17956909712792282</v>
      </c>
      <c r="AT15" s="36">
        <f>-0.32*LN(AF15/AF254)+0.0042*(AI15-AI254)-0.000105*(AQ15-AQ254)-0.000315*(AR15-AR254)</f>
        <v>0.45729999258308296</v>
      </c>
      <c r="AU15" s="4">
        <f>AU254+5*LN(AF15/AF254)+0.125*(AP15-AP254)+0.0011*(AQ15-AQ254)+0.0033*(AR15-AR254)</f>
        <v>23.69936164713933</v>
      </c>
      <c r="AV15" s="4">
        <f>0.042*(AU15-B14)</f>
        <v>-0.054626810820148135</v>
      </c>
      <c r="AW15" s="4">
        <f>0.05*0.036*(SQRT(AF15)-SQRT(B12))</f>
        <v>-0.003910195650791866</v>
      </c>
      <c r="AX15" s="21">
        <v>0</v>
      </c>
      <c r="AY15" s="36">
        <f>-0.4*(AX15/AX254)</f>
        <v>0</v>
      </c>
      <c r="AZ15" s="36">
        <f>-0.8*LN((B15+AX15)/B15)*(LN((B15+AX254)/B15))^-1</f>
        <v>0</v>
      </c>
      <c r="BA15" s="36">
        <f>-0.1*(AQ15/AQ254)</f>
        <v>-0.0005816091954022989</v>
      </c>
      <c r="BB15" s="6">
        <f>BA15+AZ15+AY15+AW15+AV15+AN15+AG15+X15</f>
        <v>-0.14612449977863687</v>
      </c>
      <c r="BC15" s="6">
        <f t="shared" si="24"/>
        <v>-0.004377216425308583</v>
      </c>
      <c r="BD15" s="4">
        <f t="shared" si="15"/>
        <v>0.8657872298190208</v>
      </c>
      <c r="BE15" s="4">
        <f>SUMPRODUCT(BC$4:BC15,$BD$343:BD$354)</f>
        <v>-0.031645585939496075</v>
      </c>
      <c r="BF15" s="23">
        <f>BE15*B7</f>
        <v>-0.031645585939496075</v>
      </c>
      <c r="BG15" s="48"/>
    </row>
    <row r="16" spans="1:59" ht="15">
      <c r="A16" s="22" t="s">
        <v>68</v>
      </c>
      <c r="B16" s="23">
        <v>106.3353745</v>
      </c>
      <c r="C16" s="22" t="s">
        <v>62</v>
      </c>
      <c r="E16" s="1">
        <f t="shared" si="16"/>
        <v>12</v>
      </c>
      <c r="F16" s="1">
        <f t="shared" si="1"/>
        <v>1762</v>
      </c>
      <c r="G16" s="3">
        <v>0</v>
      </c>
      <c r="H16" s="3">
        <f t="shared" si="17"/>
        <v>0.009600000000000003</v>
      </c>
      <c r="I16" s="5">
        <f t="shared" si="18"/>
        <v>-0.00036543908783488434</v>
      </c>
      <c r="J16" s="5">
        <f t="shared" si="19"/>
        <v>0.014001085348603491</v>
      </c>
      <c r="K16" s="4">
        <f t="shared" si="2"/>
        <v>-0.004035646260768605</v>
      </c>
      <c r="L16" s="4">
        <f t="shared" si="3"/>
        <v>9.98379652542082E-05</v>
      </c>
      <c r="M16" s="4">
        <f>60*B8*LN(U16/U4)</f>
        <v>-0.0008089567025962163</v>
      </c>
      <c r="N16" s="4">
        <f t="shared" si="20"/>
        <v>-8.076459116595989E-08</v>
      </c>
      <c r="O16" s="4">
        <f>SUMPRODUCT($M$4:M16,L$342:$L$354)</f>
        <v>-3.3129519122756894E-05</v>
      </c>
      <c r="P16" s="4">
        <f t="shared" si="21"/>
        <v>-0.0007758271834734595</v>
      </c>
      <c r="Q16" s="4">
        <f>(B5/(B4*B6))*W15</f>
        <v>0.1801063523261277</v>
      </c>
      <c r="R16" s="4">
        <f>(1.558-1.399*B3*0.01)*Q16+(7.4706-0.20207*B3)*0.001*Q16^2-(1.2748-0.12015*B3)*0.00001*Q16^3+(2.4491-0.12639*B3)*0.0000001*Q16^4-(1.5468-0.15326*B3)*0.0000000001*Q16^5</f>
        <v>0.23487046706573983</v>
      </c>
      <c r="S16" s="4">
        <f t="shared" si="27"/>
        <v>0.03150980716321357</v>
      </c>
      <c r="T16" s="5">
        <f>(T4+R16)*EXP(0.0423*BF15)</f>
        <v>279.85999670818205</v>
      </c>
      <c r="U16" s="4">
        <f t="shared" si="25"/>
        <v>279.9868465414404</v>
      </c>
      <c r="V16" s="4">
        <f t="shared" si="4"/>
        <v>0.00044117149941019085</v>
      </c>
      <c r="W16" s="4">
        <f>SUMPRODUCT($J$4:J16,$S$342:S$354)</f>
        <v>0.03258139457573703</v>
      </c>
      <c r="X16" s="6">
        <f>5.35*LN(U16/U4)</f>
        <v>-0.00025133091515039245</v>
      </c>
      <c r="Y16" s="4">
        <f t="shared" si="5"/>
        <v>1762</v>
      </c>
      <c r="Z16" s="4">
        <f t="shared" si="22"/>
        <v>12</v>
      </c>
      <c r="AA16" s="21">
        <f t="shared" si="6"/>
        <v>4.4399999999999995</v>
      </c>
      <c r="AB16" s="6">
        <f>AA16+B16</f>
        <v>110.7753745</v>
      </c>
      <c r="AC16" s="24">
        <f t="shared" si="26"/>
        <v>112.54935500780061</v>
      </c>
      <c r="AD16" s="4">
        <f t="shared" si="29"/>
        <v>5.562822188256361</v>
      </c>
      <c r="AE16" s="4">
        <f t="shared" si="8"/>
        <v>-1.7739805078006157</v>
      </c>
      <c r="AF16" s="6">
        <f t="shared" si="28"/>
        <v>626.0920493113355</v>
      </c>
      <c r="AG16" s="30">
        <f>0.036*(SQRT(AF16)-SQRT(B12))</f>
        <v>-0.07997458888505063</v>
      </c>
      <c r="AH16" s="27">
        <v>0</v>
      </c>
      <c r="AI16" s="47">
        <f>AH16+B17</f>
        <v>1.975</v>
      </c>
      <c r="AJ16" s="4">
        <f t="shared" si="9"/>
        <v>2.178097335484309</v>
      </c>
      <c r="AK16" s="4">
        <f>120*(AI16/AI254)^-0.055</f>
        <v>123.69960739219069</v>
      </c>
      <c r="AL16" s="4">
        <f t="shared" si="0"/>
        <v>-0.20309733548430886</v>
      </c>
      <c r="AM16" s="5">
        <f t="shared" si="23"/>
        <v>269.42978526138563</v>
      </c>
      <c r="AN16" s="26">
        <f>0.12*(SQRT(AM16)-SQRT(B13))</f>
        <v>-0.009372723589163313</v>
      </c>
      <c r="AO16" s="4">
        <f t="shared" si="10"/>
        <v>1.5816782334641049</v>
      </c>
      <c r="AP16" s="21">
        <v>0</v>
      </c>
      <c r="AQ16" s="21">
        <f t="shared" si="11"/>
        <v>5.5200000000000005</v>
      </c>
      <c r="AR16" s="21">
        <f t="shared" si="12"/>
        <v>0.8400000000000001</v>
      </c>
      <c r="AS16" s="35">
        <f t="shared" si="13"/>
        <v>0.179764868650861</v>
      </c>
      <c r="AT16" s="36">
        <f>-0.32*LN(AF16/AF254)+0.0042*(AI16-AI254)-0.000105*(AQ16-AQ254)-0.000315*(AR16-AR254)</f>
        <v>0.45848645641073255</v>
      </c>
      <c r="AU16" s="4">
        <f>AU254+5*LN(AF16/AF254)+0.125*(AP16-AP254)+0.0011*(AQ16-AQ254)+0.0033*(AR16-AR254)</f>
        <v>23.6804609310823</v>
      </c>
      <c r="AV16" s="4">
        <f>0.042*(AU16-B14)</f>
        <v>-0.055420640894543356</v>
      </c>
      <c r="AW16" s="4">
        <f>0.05*0.036*(SQRT(AF16)-SQRT(B12))</f>
        <v>-0.003998729444252532</v>
      </c>
      <c r="AX16" s="21">
        <v>0</v>
      </c>
      <c r="AY16" s="36">
        <f>-0.4*(AX16/AX254)</f>
        <v>0</v>
      </c>
      <c r="AZ16" s="36">
        <f>-0.8*LN((B15+AX16)/B15)*(LN((B15+AX254)/B15))^-1</f>
        <v>0</v>
      </c>
      <c r="BA16" s="36">
        <f>-0.1*(AQ16/AQ254)</f>
        <v>-0.0006344827586206897</v>
      </c>
      <c r="BB16" s="6">
        <f t="shared" si="14"/>
        <v>-0.14965249648678092</v>
      </c>
      <c r="BC16" s="6">
        <f t="shared" si="24"/>
        <v>-0.003527996708144049</v>
      </c>
      <c r="BD16" s="4">
        <f t="shared" si="15"/>
        <v>0.8654818539062974</v>
      </c>
      <c r="BE16" s="4">
        <f>SUMPRODUCT(BC$4:BC16,$BD$342:BD$354)</f>
        <v>-0.035644452570954034</v>
      </c>
      <c r="BF16" s="23">
        <f>BE16*B7</f>
        <v>-0.035644452570954034</v>
      </c>
      <c r="BG16" s="48"/>
    </row>
    <row r="17" spans="1:59" ht="15">
      <c r="A17" s="1"/>
      <c r="B17" s="22">
        <v>1.975</v>
      </c>
      <c r="C17" s="1"/>
      <c r="E17" s="1">
        <f t="shared" si="16"/>
        <v>13</v>
      </c>
      <c r="F17" s="1">
        <f t="shared" si="1"/>
        <v>1763</v>
      </c>
      <c r="G17" s="3">
        <v>0</v>
      </c>
      <c r="H17" s="3">
        <f t="shared" si="17"/>
        <v>0.010400000000000003</v>
      </c>
      <c r="I17" s="5">
        <f t="shared" si="18"/>
        <v>-0.00045255419789072435</v>
      </c>
      <c r="J17" s="5">
        <f t="shared" si="19"/>
        <v>0.01496327679123366</v>
      </c>
      <c r="K17" s="4">
        <f t="shared" si="2"/>
        <v>-0.004110722593342933</v>
      </c>
      <c r="L17" s="4">
        <f t="shared" si="3"/>
        <v>0.00010084137878512222</v>
      </c>
      <c r="M17" s="4">
        <f>60*B8*LN(U17/U4)</f>
        <v>-0.001057162396204701</v>
      </c>
      <c r="N17" s="4">
        <f t="shared" si="20"/>
        <v>-1.066057136330657E-07</v>
      </c>
      <c r="O17" s="4">
        <f>SUMPRODUCT($M$4:M17,L$341:$L$354)</f>
        <v>-9.638983408269298E-05</v>
      </c>
      <c r="P17" s="4">
        <f t="shared" si="21"/>
        <v>-0.0009607725621220079</v>
      </c>
      <c r="Q17" s="4">
        <f>(B5/(B4*B6))*W16</f>
        <v>0.20664884515439838</v>
      </c>
      <c r="R17" s="4">
        <f>(1.558-1.399*B3*0.01)*Q17+(7.4706-0.20207*B3)*0.001*Q17^2-(1.2748-0.12015*B3)*0.00001*Q17^3+(2.4491-0.12639*B3)*0.0000001*Q17^4-(1.5468-0.15326*B3)*0.0000000001*Q17^5</f>
        <v>0.26950443774259386</v>
      </c>
      <c r="S17" s="4">
        <f t="shared" si="27"/>
        <v>0.03154965723112978</v>
      </c>
      <c r="T17" s="5">
        <f>(T4+R17)*EXP(0.0423*BF16)</f>
        <v>279.84724360745105</v>
      </c>
      <c r="U17" s="4">
        <f t="shared" si="25"/>
        <v>279.9828108951796</v>
      </c>
      <c r="V17" s="4">
        <f t="shared" si="4"/>
        <v>0.0004720862538179414</v>
      </c>
      <c r="W17" s="4">
        <f>SUMPRODUCT($J$4:J17,$S$341:S$354)</f>
        <v>0.03676620254935974</v>
      </c>
      <c r="X17" s="6">
        <f>5.35*LN(U17/U4)</f>
        <v>-0.00032844476304849885</v>
      </c>
      <c r="Y17" s="4">
        <f t="shared" si="5"/>
        <v>1763</v>
      </c>
      <c r="Z17" s="4">
        <f t="shared" si="22"/>
        <v>13</v>
      </c>
      <c r="AA17" s="21">
        <f t="shared" si="6"/>
        <v>4.81</v>
      </c>
      <c r="AB17" s="6">
        <f>AA17+B16</f>
        <v>111.1453745</v>
      </c>
      <c r="AC17" s="24">
        <f t="shared" si="26"/>
        <v>112.31683162419348</v>
      </c>
      <c r="AD17" s="4">
        <f t="shared" si="29"/>
        <v>5.558544162752667</v>
      </c>
      <c r="AE17" s="4">
        <f t="shared" si="8"/>
        <v>-1.1714571241934806</v>
      </c>
      <c r="AF17" s="6">
        <f aca="true" t="shared" si="30" ref="AF17:AF69">AF16+AE16</f>
        <v>624.3180688035349</v>
      </c>
      <c r="AG17" s="30">
        <f>0.036*(SQRT(AF17)-SQRT(B12))</f>
        <v>-0.08125164569155059</v>
      </c>
      <c r="AH17" s="27">
        <v>0</v>
      </c>
      <c r="AI17" s="47">
        <f>AH17+B17</f>
        <v>1.975</v>
      </c>
      <c r="AJ17" s="4">
        <f t="shared" si="9"/>
        <v>2.1764554763081483</v>
      </c>
      <c r="AK17" s="4">
        <f>120*(AI17/AI254)^-0.055</f>
        <v>123.69960739219069</v>
      </c>
      <c r="AL17" s="4">
        <f t="shared" si="0"/>
        <v>-0.2014554763081482</v>
      </c>
      <c r="AM17" s="5">
        <f t="shared" si="23"/>
        <v>269.22668792590133</v>
      </c>
      <c r="AN17" s="26">
        <f>0.12*(SQRT(AM17)-SQRT(B13))</f>
        <v>-0.010115254504179062</v>
      </c>
      <c r="AO17" s="4">
        <f t="shared" si="10"/>
        <v>1.5830036507785838</v>
      </c>
      <c r="AP17" s="21">
        <v>0</v>
      </c>
      <c r="AQ17" s="21">
        <f t="shared" si="11"/>
        <v>5.98</v>
      </c>
      <c r="AR17" s="21">
        <f t="shared" si="12"/>
        <v>0.9100000000000001</v>
      </c>
      <c r="AS17" s="35">
        <f t="shared" si="13"/>
        <v>0.17990322118890684</v>
      </c>
      <c r="AT17" s="36">
        <f>-0.32*LN(AF17/AF254)+0.0042*(AI17-AI254)-0.000105*(AQ17-AQ254)-0.000315*(AR17-AR254)</f>
        <v>0.45932408713663514</v>
      </c>
      <c r="AU17" s="4">
        <f>AU254+5*LN(AF17/AF254)+0.125*(AP17-AP254)+0.0011*(AQ17-AQ254)+0.0033*(AR17-AR254)</f>
        <v>23.667010732240076</v>
      </c>
      <c r="AV17" s="4">
        <f>0.042*(AU17-B14)</f>
        <v>-0.05598554924591681</v>
      </c>
      <c r="AW17" s="4">
        <f>0.05*0.036*(SQRT(AF17)-SQRT(B12))</f>
        <v>-0.004062582284577529</v>
      </c>
      <c r="AX17" s="21">
        <v>0</v>
      </c>
      <c r="AY17" s="36">
        <f>-0.4*(AX17/AX254)</f>
        <v>0</v>
      </c>
      <c r="AZ17" s="36">
        <f>-0.8*LN((B15+AX17)/B15)*(LN((B15+AX254)/B15))^-1</f>
        <v>0</v>
      </c>
      <c r="BA17" s="36">
        <f>-0.1*(AQ17/AQ254)</f>
        <v>-0.0006873563218390806</v>
      </c>
      <c r="BB17" s="6">
        <f t="shared" si="14"/>
        <v>-0.15243083281111158</v>
      </c>
      <c r="BC17" s="6">
        <f t="shared" si="24"/>
        <v>-0.002778336324330666</v>
      </c>
      <c r="BD17" s="4">
        <f t="shared" si="15"/>
        <v>0.8651757831679212</v>
      </c>
      <c r="BE17" s="4">
        <f>SUMPRODUCT(BC$4:BC17,$BD$341:BD$354)</f>
        <v>-0.0395507139926496</v>
      </c>
      <c r="BF17" s="23">
        <f>BE17*B7</f>
        <v>-0.0395507139926496</v>
      </c>
      <c r="BG17" s="48"/>
    </row>
    <row r="18" spans="5:59" ht="15">
      <c r="E18" s="1">
        <f t="shared" si="16"/>
        <v>14</v>
      </c>
      <c r="F18" s="1">
        <f t="shared" si="1"/>
        <v>1764</v>
      </c>
      <c r="G18" s="3">
        <v>0</v>
      </c>
      <c r="H18" s="3">
        <f t="shared" si="17"/>
        <v>0.011200000000000003</v>
      </c>
      <c r="I18" s="5">
        <f t="shared" si="18"/>
        <v>-0.0005346126143135863</v>
      </c>
      <c r="J18" s="5">
        <f t="shared" si="19"/>
        <v>0.015796034498748918</v>
      </c>
      <c r="K18" s="4">
        <f t="shared" si="2"/>
        <v>-0.004061421884435328</v>
      </c>
      <c r="L18" s="4">
        <f t="shared" si="3"/>
        <v>0.00010185487808677196</v>
      </c>
      <c r="M18" s="4">
        <f>60*B8*LN(U18/U4)</f>
        <v>-0.0013099892125471295</v>
      </c>
      <c r="N18" s="4">
        <f t="shared" si="20"/>
        <v>-1.3342879153897427E-07</v>
      </c>
      <c r="O18" s="4">
        <f>SUMPRODUCT($M$4:M18,L$340:$L$354)</f>
        <v>-0.00017500663235938568</v>
      </c>
      <c r="P18" s="4">
        <f t="shared" si="21"/>
        <v>-0.0011349825801877439</v>
      </c>
      <c r="Q18" s="4">
        <f>(B5/(B4*B6))*W17</f>
        <v>0.23319116313074578</v>
      </c>
      <c r="R18" s="4">
        <f>(1.558-1.399*B3*0.01)*Q18+(7.4706-0.20207*B3)*0.001*Q18^2-(1.2748-0.12015*B3)*0.00001*Q18^3+(2.4491-0.12639*B3)*0.0000001*Q18^4-(1.5468-0.15326*B3)*0.0000000001*Q18^5</f>
        <v>0.30414353244474346</v>
      </c>
      <c r="S18" s="4">
        <f t="shared" si="27"/>
        <v>0.03158972116135483</v>
      </c>
      <c r="T18" s="5">
        <f>(T4+R18)*EXP(0.0423*BF17)</f>
        <v>279.8355881000276</v>
      </c>
      <c r="U18" s="4">
        <f t="shared" si="25"/>
        <v>279.9787001725863</v>
      </c>
      <c r="V18" s="4">
        <f t="shared" si="4"/>
        <v>0.0004989923252706197</v>
      </c>
      <c r="W18" s="4">
        <f>SUMPRODUCT($J$4:J18,$S$340:S$354)</f>
        <v>0.040894428128940015</v>
      </c>
      <c r="X18" s="6">
        <f>5.35*LN(U18/U4)</f>
        <v>-0.0004069943256171395</v>
      </c>
      <c r="Y18" s="4">
        <f t="shared" si="5"/>
        <v>1764</v>
      </c>
      <c r="Z18" s="4">
        <f t="shared" si="22"/>
        <v>14</v>
      </c>
      <c r="AA18" s="21">
        <f t="shared" si="6"/>
        <v>5.18</v>
      </c>
      <c r="AB18" s="6">
        <f>AA18+B16</f>
        <v>111.51537450000001</v>
      </c>
      <c r="AC18" s="24">
        <f t="shared" si="26"/>
        <v>112.16073827026123</v>
      </c>
      <c r="AD18" s="4">
        <f t="shared" si="29"/>
        <v>5.555835502596412</v>
      </c>
      <c r="AE18" s="4">
        <f t="shared" si="8"/>
        <v>-0.6453637702612269</v>
      </c>
      <c r="AF18" s="6">
        <f t="shared" si="30"/>
        <v>623.1466116793414</v>
      </c>
      <c r="AG18" s="30">
        <f>0.036*(SQRT(AF18)-SQRT(B12))</f>
        <v>-0.08209595158263262</v>
      </c>
      <c r="AH18" s="27">
        <v>0</v>
      </c>
      <c r="AI18" s="47">
        <f>AH18+B17</f>
        <v>1.975</v>
      </c>
      <c r="AJ18" s="4">
        <f t="shared" si="9"/>
        <v>2.1748268900858054</v>
      </c>
      <c r="AK18" s="4">
        <f>120*(AI18/AI254)^-0.055</f>
        <v>123.69960739219069</v>
      </c>
      <c r="AL18" s="4">
        <f t="shared" si="0"/>
        <v>-0.19982689008580534</v>
      </c>
      <c r="AM18" s="5">
        <f>AM17+AL17</f>
        <v>269.0252324495932</v>
      </c>
      <c r="AN18" s="26">
        <f>0.12*(SQRT(AM18)-SQRT(B13))</f>
        <v>-0.010852059461951313</v>
      </c>
      <c r="AO18" s="4">
        <f t="shared" si="10"/>
        <v>1.5838439028453257</v>
      </c>
      <c r="AP18" s="21">
        <v>0</v>
      </c>
      <c r="AQ18" s="21">
        <f t="shared" si="11"/>
        <v>6.44</v>
      </c>
      <c r="AR18" s="21">
        <f t="shared" si="12"/>
        <v>0.9800000000000001</v>
      </c>
      <c r="AS18" s="35">
        <f t="shared" si="13"/>
        <v>0.1799909301729091</v>
      </c>
      <c r="AT18" s="36">
        <f>-0.32*LN(AF18/AF254)+0.0042*(AI18-AI254)-0.000105*(AQ18-AQ254)-0.000315*(AR18-AR254)</f>
        <v>0.45985474235273344</v>
      </c>
      <c r="AU18" s="4">
        <f>AU254+5*LN(AF18/AF254)+0.125*(AP18-AP254)+0.0011*(AQ18-AQ254)+0.0033*(AR18-AR254)</f>
        <v>23.65835702573854</v>
      </c>
      <c r="AV18" s="4">
        <f>0.042*(AU18-B14)</f>
        <v>-0.05634900491898137</v>
      </c>
      <c r="AW18" s="4">
        <f>0.05*0.036*(SQRT(AF18)-SQRT(B12))</f>
        <v>-0.004104797579131631</v>
      </c>
      <c r="AX18" s="21">
        <v>0</v>
      </c>
      <c r="AY18" s="36">
        <f>-0.4*(AX18/AX254)</f>
        <v>0</v>
      </c>
      <c r="AZ18" s="36">
        <f>-0.8*LN((B15+AX18)/B15)*(LN((B15+AX254)/B15))^-1</f>
        <v>0</v>
      </c>
      <c r="BA18" s="36">
        <f>-0.1*(AQ18/AQ254)</f>
        <v>-0.0007402298850574713</v>
      </c>
      <c r="BB18" s="6">
        <f t="shared" si="14"/>
        <v>-0.15454903775337153</v>
      </c>
      <c r="BC18" s="6">
        <f t="shared" si="24"/>
        <v>-0.002118204942259949</v>
      </c>
      <c r="BD18" s="4">
        <f t="shared" si="15"/>
        <v>0.8648690160229318</v>
      </c>
      <c r="BE18" s="4">
        <f>SUMPRODUCT(BC$4:BC18,$BD$340:BD$354)</f>
        <v>-0.04333451968300252</v>
      </c>
      <c r="BF18" s="23">
        <f>BE18*B7</f>
        <v>-0.04333451968300252</v>
      </c>
      <c r="BG18" s="48"/>
    </row>
    <row r="19" spans="5:59" ht="15">
      <c r="E19" s="1">
        <f t="shared" si="16"/>
        <v>15</v>
      </c>
      <c r="F19" s="1">
        <f t="shared" si="1"/>
        <v>1765</v>
      </c>
      <c r="G19" s="3">
        <v>0</v>
      </c>
      <c r="H19" s="3">
        <f t="shared" si="17"/>
        <v>0.012000000000000004</v>
      </c>
      <c r="I19" s="5">
        <f t="shared" si="18"/>
        <v>-0.0006087141223217145</v>
      </c>
      <c r="J19" s="5">
        <f t="shared" si="19"/>
        <v>0.01652568953736204</v>
      </c>
      <c r="K19" s="4">
        <f t="shared" si="2"/>
        <v>-0.003916975415040321</v>
      </c>
      <c r="L19" s="4">
        <f t="shared" si="3"/>
        <v>0.0001028785645893419</v>
      </c>
      <c r="M19" s="4">
        <f>60*B8*LN(U19/U4)</f>
        <v>-0.0015597874724724776</v>
      </c>
      <c r="N19" s="4">
        <f t="shared" si="20"/>
        <v>-1.6046869623240614E-07</v>
      </c>
      <c r="O19" s="4">
        <f>SUMPRODUCT($M$4:M19,L$339:$L$354)</f>
        <v>-0.00026748739078347747</v>
      </c>
      <c r="P19" s="4">
        <f t="shared" si="21"/>
        <v>-0.001292300081689</v>
      </c>
      <c r="Q19" s="4">
        <f>(B5/(B4*B6))*W18</f>
        <v>0.2593746049283046</v>
      </c>
      <c r="R19" s="4">
        <f>(1.558-1.399*B3*0.01)*Q19+(7.4706-0.20207*B3)*0.001*Q19^2-(1.2748-0.12015*B3)*0.00001*Q19^3+(2.4491-0.12639*B3)*0.0000001*Q19^4-(1.5468-0.15326*B3)*0.0000000001*Q19^5</f>
        <v>0.33831952031607815</v>
      </c>
      <c r="S19" s="4">
        <f t="shared" si="27"/>
        <v>0.031630000491354664</v>
      </c>
      <c r="T19" s="5">
        <f>(T4+R19)*EXP(0.0423*BF18)</f>
        <v>279.82491600349334</v>
      </c>
      <c r="U19" s="4">
        <f t="shared" si="25"/>
        <v>279.97463875070184</v>
      </c>
      <c r="V19" s="4">
        <f t="shared" si="4"/>
        <v>0.0005227075681867359</v>
      </c>
      <c r="W19" s="4">
        <f>SUMPRODUCT($J$4:J19,$S$339:S$354)</f>
        <v>0.04495286716306525</v>
      </c>
      <c r="X19" s="6">
        <f>5.35*LN(U19/U4)</f>
        <v>-0.00048460296037907986</v>
      </c>
      <c r="Y19" s="4">
        <f t="shared" si="5"/>
        <v>1765</v>
      </c>
      <c r="Z19" s="4">
        <f t="shared" si="22"/>
        <v>15</v>
      </c>
      <c r="AA19" s="21">
        <f t="shared" si="6"/>
        <v>5.55</v>
      </c>
      <c r="AB19" s="6">
        <f>AA19+B16</f>
        <v>111.8853745</v>
      </c>
      <c r="AC19" s="24">
        <f t="shared" si="26"/>
        <v>112.07146724035692</v>
      </c>
      <c r="AD19" s="4">
        <f t="shared" si="29"/>
        <v>5.554502526267609</v>
      </c>
      <c r="AE19" s="4">
        <f t="shared" si="8"/>
        <v>-0.18609274035692636</v>
      </c>
      <c r="AF19" s="6">
        <f t="shared" si="30"/>
        <v>622.5012479090801</v>
      </c>
      <c r="AG19" s="30">
        <f>0.036*(SQRT(AF19)-SQRT(B12))</f>
        <v>-0.08256142454083727</v>
      </c>
      <c r="AH19" s="27">
        <v>0</v>
      </c>
      <c r="AI19" s="47">
        <f>AH19+B17</f>
        <v>1.975</v>
      </c>
      <c r="AJ19" s="4">
        <f t="shared" si="9"/>
        <v>2.1732114695173936</v>
      </c>
      <c r="AK19" s="4">
        <f>120*(AI19/AI254)^-0.055</f>
        <v>123.69960739219069</v>
      </c>
      <c r="AL19" s="4">
        <f t="shared" si="0"/>
        <v>-0.19821146951739355</v>
      </c>
      <c r="AM19" s="5">
        <f t="shared" si="23"/>
        <v>268.8254055595074</v>
      </c>
      <c r="AN19" s="26">
        <f>0.12*(SQRT(AM19)-SQRT(B13))</f>
        <v>-0.011583180601341211</v>
      </c>
      <c r="AO19" s="4">
        <f t="shared" si="10"/>
        <v>1.5842577056205718</v>
      </c>
      <c r="AP19" s="21">
        <v>0</v>
      </c>
      <c r="AQ19" s="21">
        <f t="shared" si="11"/>
        <v>6.9</v>
      </c>
      <c r="AR19" s="21">
        <f t="shared" si="12"/>
        <v>1.05</v>
      </c>
      <c r="AS19" s="35">
        <f t="shared" si="13"/>
        <v>0.1800341246170893</v>
      </c>
      <c r="AT19" s="36">
        <f>-0.32*LN(AF19/AF254)+0.0042*(AI19-AI254)-0.000105*(AQ19-AQ254)-0.000315*(AR19-AR254)</f>
        <v>0.46011597310145286</v>
      </c>
      <c r="AU19" s="4">
        <f>AU254+5*LN(AF19/AF254)+0.125*(AP19-AP254)+0.0011*(AQ19-AQ254)+0.0033*(AR19-AR254)</f>
        <v>23.6539130765398</v>
      </c>
      <c r="AV19" s="4">
        <f>0.042*(AU19-B14)</f>
        <v>-0.056535650785328344</v>
      </c>
      <c r="AW19" s="4">
        <f>0.05*0.036*(SQRT(AF19)-SQRT(B12))</f>
        <v>-0.004128071227041864</v>
      </c>
      <c r="AX19" s="21">
        <v>0</v>
      </c>
      <c r="AY19" s="36">
        <f>-0.4*(AX19/AX254)</f>
        <v>0</v>
      </c>
      <c r="AZ19" s="36">
        <f>-0.8*LN((B15+AX19)/B15)*(LN((B15+AX254)/B15))^-1</f>
        <v>0</v>
      </c>
      <c r="BA19" s="36">
        <f>-0.1*(AQ19/AQ254)</f>
        <v>-0.0007931034482758621</v>
      </c>
      <c r="BB19" s="6">
        <f t="shared" si="14"/>
        <v>-0.15608603356320364</v>
      </c>
      <c r="BC19" s="6">
        <f t="shared" si="24"/>
        <v>-0.0015369958098321035</v>
      </c>
      <c r="BD19" s="4">
        <f t="shared" si="15"/>
        <v>0.8645615508867707</v>
      </c>
      <c r="BE19" s="4">
        <f>SUMPRODUCT(BC$4:BC19,$BD$339:BD$354)</f>
        <v>-0.046972312860821604</v>
      </c>
      <c r="BF19" s="23">
        <f>BE19*B7</f>
        <v>-0.046972312860821604</v>
      </c>
      <c r="BG19" s="48"/>
    </row>
    <row r="20" spans="1:59" ht="15.75" thickBot="1">
      <c r="A20" s="54" t="s">
        <v>110</v>
      </c>
      <c r="B20" s="56"/>
      <c r="E20" s="1">
        <f t="shared" si="16"/>
        <v>16</v>
      </c>
      <c r="F20" s="1">
        <f t="shared" si="1"/>
        <v>1766</v>
      </c>
      <c r="G20" s="3">
        <v>0</v>
      </c>
      <c r="H20" s="3">
        <f t="shared" si="17"/>
        <v>0.012800000000000004</v>
      </c>
      <c r="I20" s="5">
        <f t="shared" si="18"/>
        <v>-0.0006730689457928223</v>
      </c>
      <c r="J20" s="5">
        <f t="shared" si="19"/>
        <v>0.017144029790048858</v>
      </c>
      <c r="K20" s="4">
        <f t="shared" si="2"/>
        <v>-0.0036709608442560306</v>
      </c>
      <c r="L20" s="4">
        <f t="shared" si="3"/>
        <v>0.00010391254074581669</v>
      </c>
      <c r="M20" s="4">
        <f>60*B8*LN(U20/U4)</f>
        <v>-0.0018007049669409114</v>
      </c>
      <c r="N20" s="4">
        <f t="shared" si="20"/>
        <v>-1.8711582824844194E-07</v>
      </c>
      <c r="O20" s="4">
        <f>SUMPRODUCT($M$4:M20,L$338:$L$354)</f>
        <v>-0.00037177959502274953</v>
      </c>
      <c r="P20" s="4">
        <f t="shared" si="21"/>
        <v>-0.0014289253719181618</v>
      </c>
      <c r="Q20" s="4">
        <f>(B5/(B4*B6))*W19</f>
        <v>0.2851154226696072</v>
      </c>
      <c r="R20" s="4">
        <f>(1.558-1.399*B3*0.01)*Q20+(7.4706-0.20207*B3)*0.001*Q20^2-(1.2748-0.12015*B3)*0.00001*Q20^3+(2.4491-0.12639*B3)*0.0000001*Q20^4-(1.5468-0.15326*B3)*0.0000000001*Q20^5</f>
        <v>0.3719228512939071</v>
      </c>
      <c r="S20" s="4">
        <f t="shared" si="27"/>
        <v>0.031670496774245604</v>
      </c>
      <c r="T20" s="5">
        <f>(T4+R20)*EXP(0.0423*BF19)</f>
        <v>279.81539686538895</v>
      </c>
      <c r="U20" s="4">
        <f t="shared" si="25"/>
        <v>279.9707217752868</v>
      </c>
      <c r="V20" s="4">
        <f t="shared" si="4"/>
        <v>0.0005429599401633128</v>
      </c>
      <c r="W20" s="4">
        <f>SUMPRODUCT($J$4:J20,$S$338:S$354)</f>
        <v>0.048908910257172866</v>
      </c>
      <c r="X20" s="6">
        <f>5.35*LN(U20/U4)</f>
        <v>-0.000559452472307426</v>
      </c>
      <c r="Y20" s="4">
        <f t="shared" si="5"/>
        <v>1766</v>
      </c>
      <c r="Z20" s="4">
        <f t="shared" si="22"/>
        <v>16</v>
      </c>
      <c r="AA20" s="21">
        <f t="shared" si="6"/>
        <v>5.92</v>
      </c>
      <c r="AB20" s="6">
        <f>AA20+B16</f>
        <v>112.2553745</v>
      </c>
      <c r="AC20" s="24">
        <f t="shared" si="26"/>
        <v>112.04057063198798</v>
      </c>
      <c r="AD20" s="4">
        <f t="shared" si="29"/>
        <v>5.554373310118166</v>
      </c>
      <c r="AE20" s="4">
        <f t="shared" si="8"/>
        <v>0.21480386801202656</v>
      </c>
      <c r="AF20" s="6">
        <f t="shared" si="30"/>
        <v>622.3151551687232</v>
      </c>
      <c r="AG20" s="30">
        <f>0.036*(SQRT(AF20)-SQRT(B12))</f>
        <v>-0.08269568999467937</v>
      </c>
      <c r="AH20" s="27">
        <v>0</v>
      </c>
      <c r="AI20" s="47">
        <f>AH20+B17</f>
        <v>1.975</v>
      </c>
      <c r="AJ20" s="4">
        <f t="shared" si="9"/>
        <v>2.1716091081704496</v>
      </c>
      <c r="AK20" s="4">
        <f>120*(AI20/AI254)^-0.055</f>
        <v>123.69960739219069</v>
      </c>
      <c r="AL20" s="4">
        <f t="shared" si="0"/>
        <v>-0.19660910817044952</v>
      </c>
      <c r="AM20" s="5">
        <f t="shared" si="23"/>
        <v>268.62719408999</v>
      </c>
      <c r="AN20" s="26">
        <f>0.12*(SQRT(AM20)-SQRT(B13))</f>
        <v>-0.01230865978058489</v>
      </c>
      <c r="AO20" s="4">
        <f t="shared" si="10"/>
        <v>1.5842978294218006</v>
      </c>
      <c r="AP20" s="21">
        <v>0</v>
      </c>
      <c r="AQ20" s="21">
        <f t="shared" si="11"/>
        <v>7.36</v>
      </c>
      <c r="AR20" s="21">
        <f t="shared" si="12"/>
        <v>1.12</v>
      </c>
      <c r="AS20" s="35">
        <f t="shared" si="13"/>
        <v>0.18003831290531777</v>
      </c>
      <c r="AT20" s="36">
        <f>-0.32*LN(AF20/AF254)+0.0042*(AI20-AI254)-0.000105*(AQ20-AQ254)-0.000315*(AR20-AR254)</f>
        <v>0.4601412993428819</v>
      </c>
      <c r="AU20" s="4">
        <f>AU254+5*LN(AF20/AF254)+0.125*(AP20-AP254)+0.0011*(AQ20-AQ254)+0.0033*(AR20-AR254)</f>
        <v>23.653155135267475</v>
      </c>
      <c r="AV20" s="4">
        <f>0.042*(AU20-B14)</f>
        <v>-0.056567484318766036</v>
      </c>
      <c r="AW20" s="4">
        <f>0.05*0.036*(SQRT(AF20)-SQRT(B12))</f>
        <v>-0.0041347844997339685</v>
      </c>
      <c r="AX20" s="21">
        <v>0</v>
      </c>
      <c r="AY20" s="36">
        <f>-0.4*(AX20/AX254)</f>
        <v>0</v>
      </c>
      <c r="AZ20" s="36">
        <f>-0.8*LN((B15+AX20)/B15)*(LN((B15+AX254)/B15))^-1</f>
        <v>0</v>
      </c>
      <c r="BA20" s="36">
        <f>-0.1*(AQ20/AQ254)</f>
        <v>-0.000845977011494253</v>
      </c>
      <c r="BB20" s="6">
        <f t="shared" si="14"/>
        <v>-0.15711204807756596</v>
      </c>
      <c r="BC20" s="6">
        <f t="shared" si="24"/>
        <v>-0.0010260145143623223</v>
      </c>
      <c r="BD20" s="4">
        <f t="shared" si="15"/>
        <v>0.8642533861712726</v>
      </c>
      <c r="BE20" s="4">
        <f>SUMPRODUCT(BC$4:BC20,$BD$338:BD$354)</f>
        <v>-0.05044589993526933</v>
      </c>
      <c r="BF20" s="23">
        <f>BE20*B7</f>
        <v>-0.05044589993526933</v>
      </c>
      <c r="BG20" s="48"/>
    </row>
    <row r="21" spans="1:59" ht="19.5" thickBot="1" thickTop="1">
      <c r="A21" s="52" t="s">
        <v>112</v>
      </c>
      <c r="B21" s="57">
        <f>'emissioni in ingresso'!B42</f>
        <v>0</v>
      </c>
      <c r="C21" s="56"/>
      <c r="E21" s="1">
        <f t="shared" si="16"/>
        <v>17</v>
      </c>
      <c r="F21" s="1">
        <f t="shared" si="1"/>
        <v>1767</v>
      </c>
      <c r="G21" s="3">
        <v>0</v>
      </c>
      <c r="H21" s="3">
        <f t="shared" si="17"/>
        <v>0.013600000000000004</v>
      </c>
      <c r="I21" s="5">
        <f t="shared" si="18"/>
        <v>-0.0007258755843729631</v>
      </c>
      <c r="J21" s="5">
        <f t="shared" si="19"/>
        <v>0.017668261295533744</v>
      </c>
      <c r="K21" s="4">
        <f t="shared" si="2"/>
        <v>-0.0033423857111607776</v>
      </c>
      <c r="L21" s="4">
        <f t="shared" si="3"/>
        <v>0.00010495691004243498</v>
      </c>
      <c r="M21" s="4">
        <f>60*B8*LN(U21/U4)</f>
        <v>-0.002026494148644227</v>
      </c>
      <c r="N21" s="4">
        <f t="shared" si="20"/>
        <v>-2.12694564060773E-07</v>
      </c>
      <c r="O21" s="4">
        <f>SUMPRODUCT($M$4:M21,L$337:$L$354)</f>
        <v>-0.00048546028302042606</v>
      </c>
      <c r="P21" s="4">
        <f t="shared" si="21"/>
        <v>-0.0015410338656238007</v>
      </c>
      <c r="Q21" s="4">
        <f>(B5/(B4*B6))*W20</f>
        <v>0.3102067899184224</v>
      </c>
      <c r="R21" s="4">
        <f>(1.558-1.399*B3*0.01)*Q21+(7.4706-0.20207*B3)*0.001*Q21^2-(1.2748-0.12015*B3)*0.00001*Q21^3+(2.4491-0.12639*B3)*0.0000001*Q21^4-(1.5468-0.15326*B3)*0.0000000001*Q21^5</f>
        <v>0.4046832052535836</v>
      </c>
      <c r="S21" s="4">
        <f t="shared" si="27"/>
        <v>0.03171121157899452</v>
      </c>
      <c r="T21" s="5">
        <f>(T4+R21)*EXP(0.0423*BF20)</f>
        <v>279.806976367105</v>
      </c>
      <c r="U21" s="4">
        <f t="shared" si="25"/>
        <v>279.96705081444253</v>
      </c>
      <c r="V21" s="4">
        <f t="shared" si="4"/>
        <v>0.0005602819721756304</v>
      </c>
      <c r="W21" s="4">
        <f>SUMPRODUCT($J$4:J21,$S$337:S$354)</f>
        <v>0.05275234685416974</v>
      </c>
      <c r="X21" s="6">
        <f>5.35*LN(U21/U4)</f>
        <v>-0.0006296018406066558</v>
      </c>
      <c r="Y21" s="4">
        <f t="shared" si="5"/>
        <v>1767</v>
      </c>
      <c r="Z21" s="4">
        <f t="shared" si="22"/>
        <v>17</v>
      </c>
      <c r="AA21" s="21">
        <f t="shared" si="6"/>
        <v>6.29</v>
      </c>
      <c r="AB21" s="6">
        <f>AA21+B16</f>
        <v>112.6253745</v>
      </c>
      <c r="AC21" s="24">
        <f t="shared" si="26"/>
        <v>112.0606332001085</v>
      </c>
      <c r="AD21" s="4">
        <f t="shared" si="29"/>
        <v>5.555295747125339</v>
      </c>
      <c r="AE21" s="4">
        <f t="shared" si="8"/>
        <v>0.5647412998915087</v>
      </c>
      <c r="AF21" s="6">
        <f t="shared" si="30"/>
        <v>622.5299590367352</v>
      </c>
      <c r="AG21" s="30">
        <f>0.036*(SQRT(AF21)-SQRT(B12))</f>
        <v>-0.0825407113200488</v>
      </c>
      <c r="AH21" s="27">
        <v>0</v>
      </c>
      <c r="AI21" s="47">
        <f>AH21+B17</f>
        <v>1.975</v>
      </c>
      <c r="AJ21" s="4">
        <f t="shared" si="9"/>
        <v>2.170019700472921</v>
      </c>
      <c r="AK21" s="4">
        <f>120*(AI21/AI254)^-0.055</f>
        <v>123.69960739219069</v>
      </c>
      <c r="AL21" s="4">
        <f t="shared" si="0"/>
        <v>-0.19501970047292083</v>
      </c>
      <c r="AM21" s="5">
        <f t="shared" si="23"/>
        <v>268.43058498181955</v>
      </c>
      <c r="AN21" s="26">
        <f>0.12*(SQRT(AM21)-SQRT(B13))</f>
        <v>-0.013028538578745098</v>
      </c>
      <c r="AO21" s="4">
        <f t="shared" si="10"/>
        <v>1.584011438018591</v>
      </c>
      <c r="AP21" s="21">
        <v>0</v>
      </c>
      <c r="AQ21" s="21">
        <f t="shared" si="11"/>
        <v>7.82</v>
      </c>
      <c r="AR21" s="21">
        <f t="shared" si="12"/>
        <v>1.1900000000000002</v>
      </c>
      <c r="AS21" s="35">
        <f t="shared" si="13"/>
        <v>0.1800084181868199</v>
      </c>
      <c r="AT21" s="36">
        <f>-0.32*LN(AF21/AF254)+0.0042*(AI21-AI254)-0.000105*(AQ21-AQ254)-0.000315*(AR21-AR254)</f>
        <v>0.4599605143374958</v>
      </c>
      <c r="AU21" s="4">
        <f>AU254+5*LN(AF21/AF254)+0.125*(AP21-AP254)+0.0011*(AQ21-AQ254)+0.0033*(AR21-AR254)</f>
        <v>23.65561768222663</v>
      </c>
      <c r="AV21" s="4">
        <f>0.042*(AU21-B14)</f>
        <v>-0.056464057346481536</v>
      </c>
      <c r="AW21" s="4">
        <f>0.05*0.036*(SQRT(AF21)-SQRT(B12))</f>
        <v>-0.00412703556600244</v>
      </c>
      <c r="AX21" s="21">
        <v>0</v>
      </c>
      <c r="AY21" s="36">
        <f>-0.4*(AX21/AX254)</f>
        <v>0</v>
      </c>
      <c r="AZ21" s="36">
        <f>-0.8*LN((B15+AX21)/B15)*(LN((B15+AX254)/B15))^-1</f>
        <v>0</v>
      </c>
      <c r="BA21" s="36">
        <f>-0.1*(AQ21/AQ254)</f>
        <v>-0.0008988505747126439</v>
      </c>
      <c r="BB21" s="6">
        <f t="shared" si="14"/>
        <v>-0.15768879522659715</v>
      </c>
      <c r="BC21" s="6">
        <f t="shared" si="24"/>
        <v>-0.0005767471490311926</v>
      </c>
      <c r="BD21" s="4">
        <f t="shared" si="15"/>
        <v>0.8639445202846576</v>
      </c>
      <c r="BE21" s="4">
        <f>SUMPRODUCT(BC$4:BC21,$BD$337:BD$354)</f>
        <v>-0.053741674271646285</v>
      </c>
      <c r="BF21" s="23">
        <f>BE21*B7</f>
        <v>-0.053741674271646285</v>
      </c>
      <c r="BG21" s="48"/>
    </row>
    <row r="22" spans="1:59" ht="16.5" thickBot="1" thickTop="1">
      <c r="A22" s="52" t="s">
        <v>111</v>
      </c>
      <c r="B22" s="57">
        <f>'emissioni in ingresso'!B43</f>
        <v>0</v>
      </c>
      <c r="C22" s="56"/>
      <c r="E22" s="1">
        <f t="shared" si="16"/>
        <v>18</v>
      </c>
      <c r="F22" s="1">
        <f t="shared" si="1"/>
        <v>1768</v>
      </c>
      <c r="G22" s="3">
        <v>0</v>
      </c>
      <c r="H22" s="3">
        <f t="shared" si="17"/>
        <v>0.014400000000000005</v>
      </c>
      <c r="I22" s="5">
        <f t="shared" si="18"/>
        <v>-0.0007660127156096657</v>
      </c>
      <c r="J22" s="5">
        <f t="shared" si="19"/>
        <v>0.018099054352854957</v>
      </c>
      <c r="K22" s="4">
        <f t="shared" si="2"/>
        <v>-0.002933041637245287</v>
      </c>
      <c r="L22" s="4">
        <f t="shared" si="3"/>
        <v>0.0001060117770092579</v>
      </c>
      <c r="M22" s="4">
        <f>60*B8*LN(U22/U4)</f>
        <v>-0.002232076288923931</v>
      </c>
      <c r="N22" s="4">
        <f t="shared" si="20"/>
        <v>-2.3662637380905572E-07</v>
      </c>
      <c r="O22" s="4">
        <f>SUMPRODUCT($M$4:M22,L$336:$L$354)</f>
        <v>-0.0006058312936846107</v>
      </c>
      <c r="P22" s="4">
        <f t="shared" si="21"/>
        <v>-0.0016262449952393204</v>
      </c>
      <c r="Q22" s="4">
        <f>(B5/(B4*B6))*W21</f>
        <v>0.3345839457932976</v>
      </c>
      <c r="R22" s="4">
        <f>(1.558-1.399*B3*0.01)*Q22+(7.4706-0.20207*B3)*0.001*Q22^2-(1.2748-0.12015*B3)*0.00001*Q22^3+(2.4491-0.12639*B3)*0.0000001*Q22^4-(1.5468-0.15326*B3)*0.0000000001*Q22^5</f>
        <v>0.4365156386654837</v>
      </c>
      <c r="S22" s="4">
        <f t="shared" si="27"/>
        <v>0.03175214649062169</v>
      </c>
      <c r="T22" s="5">
        <f>(T4+R22)*EXP(0.0423*BF21)</f>
        <v>279.7997309962945</v>
      </c>
      <c r="U22" s="4">
        <f t="shared" si="25"/>
        <v>279.96370842873137</v>
      </c>
      <c r="V22" s="4">
        <f t="shared" si="4"/>
        <v>0.0005746838251535748</v>
      </c>
      <c r="W22" s="4">
        <f>SUMPRODUCT($J$4:J22,$S$336:S$354)</f>
        <v>0.05646537724848559</v>
      </c>
      <c r="X22" s="6">
        <f>5.35*LN(U22/U4)</f>
        <v>-0.000693473179195298</v>
      </c>
      <c r="Y22" s="4">
        <f t="shared" si="5"/>
        <v>1768</v>
      </c>
      <c r="Z22" s="4">
        <f t="shared" si="22"/>
        <v>18</v>
      </c>
      <c r="AA22" s="21">
        <f t="shared" si="6"/>
        <v>6.66</v>
      </c>
      <c r="AB22" s="6">
        <f>AA22+B16</f>
        <v>112.9953745</v>
      </c>
      <c r="AC22" s="24">
        <f t="shared" si="26"/>
        <v>112.12515584598884</v>
      </c>
      <c r="AD22" s="4">
        <f t="shared" si="29"/>
        <v>5.557135645746505</v>
      </c>
      <c r="AE22" s="4">
        <f t="shared" si="8"/>
        <v>0.8702186540111541</v>
      </c>
      <c r="AF22" s="6">
        <f t="shared" si="30"/>
        <v>623.0947003366267</v>
      </c>
      <c r="AG22" s="30">
        <f>0.036*(SQRT(AF22)-SQRT(B12))</f>
        <v>-0.082133384070583</v>
      </c>
      <c r="AH22" s="27">
        <v>0</v>
      </c>
      <c r="AI22" s="47">
        <f>AH22+B17</f>
        <v>1.975</v>
      </c>
      <c r="AJ22" s="4">
        <f t="shared" si="9"/>
        <v>2.1684431417062093</v>
      </c>
      <c r="AK22" s="4">
        <f>120*(AI22/AI254)^-0.055</f>
        <v>123.69960739219069</v>
      </c>
      <c r="AL22" s="4">
        <f t="shared" si="0"/>
        <v>-0.19344314170620924</v>
      </c>
      <c r="AM22" s="5">
        <f>AM21+AL21</f>
        <v>268.2355652813466</v>
      </c>
      <c r="AN22" s="26">
        <f>0.12*(SQRT(AM22)-SQRT(B13))</f>
        <v>-0.01374285829715518</v>
      </c>
      <c r="AO22" s="4">
        <f t="shared" si="10"/>
        <v>1.5834404838858347</v>
      </c>
      <c r="AP22" s="21">
        <v>0</v>
      </c>
      <c r="AQ22" s="21">
        <f t="shared" si="11"/>
        <v>8.280000000000001</v>
      </c>
      <c r="AR22" s="21">
        <f t="shared" si="12"/>
        <v>1.2600000000000002</v>
      </c>
      <c r="AS22" s="35">
        <f t="shared" si="13"/>
        <v>0.17994881963434012</v>
      </c>
      <c r="AT22" s="36">
        <f>-0.32*LN(AF22/AF254)+0.0042*(AI22-AI254)-0.000105*(AQ22-AQ254)-0.000315*(AR22-AR254)</f>
        <v>0.45960000112181476</v>
      </c>
      <c r="AU22" s="4">
        <f>AU254+5*LN(AF22/AF254)+0.125*(AP22-AP254)+0.0011*(AQ22-AQ254)+0.0033*(AR22-AR254)</f>
        <v>23.660888482471645</v>
      </c>
      <c r="AV22" s="4">
        <f>0.042*(AU22-B14)</f>
        <v>-0.05624268373619092</v>
      </c>
      <c r="AW22" s="4">
        <f>0.05*0.036*(SQRT(AF22)-SQRT(B12))</f>
        <v>-0.00410666920352915</v>
      </c>
      <c r="AX22" s="21">
        <v>0</v>
      </c>
      <c r="AY22" s="36">
        <f>-0.4*(AX22/AX254)</f>
        <v>0</v>
      </c>
      <c r="AZ22" s="36">
        <f>-0.8*LN((B15+AX22)/B15)*(LN((B15+AX254)/B15))^-1</f>
        <v>0</v>
      </c>
      <c r="BA22" s="36">
        <f>-0.1*(AQ22/AQ254)</f>
        <v>-0.0009517241379310347</v>
      </c>
      <c r="BB22" s="6">
        <f t="shared" si="14"/>
        <v>-0.1578707926245846</v>
      </c>
      <c r="BC22" s="6">
        <f t="shared" si="24"/>
        <v>-0.00018199739798743786</v>
      </c>
      <c r="BD22" s="4">
        <f t="shared" si="15"/>
        <v>0.8636349516315227</v>
      </c>
      <c r="BE22" s="4">
        <f>SUMPRODUCT(BC$4:BC22,$BD$336:BD$354)</f>
        <v>-0.056849900371186333</v>
      </c>
      <c r="BF22" s="23">
        <f>BE22*B7</f>
        <v>-0.056849900371186333</v>
      </c>
      <c r="BG22" s="48"/>
    </row>
    <row r="23" spans="1:59" ht="16.5" thickBot="1" thickTop="1">
      <c r="A23" s="53" t="s">
        <v>76</v>
      </c>
      <c r="B23" s="57">
        <f>'emissioni in ingresso'!B44</f>
        <v>0</v>
      </c>
      <c r="C23" s="56"/>
      <c r="E23" s="1">
        <f t="shared" si="16"/>
        <v>19</v>
      </c>
      <c r="F23" s="1">
        <f t="shared" si="1"/>
        <v>1769</v>
      </c>
      <c r="G23" s="3">
        <v>0</v>
      </c>
      <c r="H23" s="3">
        <f t="shared" si="17"/>
        <v>0.015200000000000005</v>
      </c>
      <c r="I23" s="5">
        <f t="shared" si="18"/>
        <v>-0.0007924790269584305</v>
      </c>
      <c r="J23" s="5">
        <f t="shared" si="19"/>
        <v>0.018448861056929312</v>
      </c>
      <c r="K23" s="4">
        <f t="shared" si="2"/>
        <v>-0.0024563820299708765</v>
      </c>
      <c r="L23" s="4">
        <f t="shared" si="3"/>
        <v>0.00010707724723085244</v>
      </c>
      <c r="M23" s="4">
        <f>60*B8*LN(U23/U4)</f>
        <v>-0.002412482677475083</v>
      </c>
      <c r="N23" s="4">
        <f t="shared" si="20"/>
        <v>-2.583220040961483E-07</v>
      </c>
      <c r="O23" s="4">
        <f>SUMPRODUCT($M$4:M23,L$335:$L$354)</f>
        <v>-0.0007300497032423349</v>
      </c>
      <c r="P23" s="4">
        <f t="shared" si="21"/>
        <v>-0.001682432974232748</v>
      </c>
      <c r="Q23" s="4">
        <f>(B5/(B4*B6))*W22</f>
        <v>0.3581339949240965</v>
      </c>
      <c r="R23" s="4">
        <f>(1.558-1.399*B3*0.01)*Q23+(7.4706-0.20207*B3)*0.001*Q23^2-(1.2748-0.12015*B3)*0.00001*Q23^3+(2.4491-0.12639*B3)*0.0000001*Q23^4-(1.5468-0.15326*B3)*0.0000000001*Q23^5</f>
        <v>0.46727230223656874</v>
      </c>
      <c r="S23" s="4">
        <f t="shared" si="27"/>
        <v>0.03179330311040658</v>
      </c>
      <c r="T23" s="5">
        <f>(T4+R23)*EXP(0.0423*BF22)</f>
        <v>279.79362870591837</v>
      </c>
      <c r="U23" s="4">
        <f t="shared" si="25"/>
        <v>279.96077538709415</v>
      </c>
      <c r="V23" s="4">
        <f t="shared" si="4"/>
        <v>0.0005865502316247295</v>
      </c>
      <c r="W23" s="4">
        <f>SUMPRODUCT($J$4:J23,$S$335:S$354)</f>
        <v>0.060042110438694715</v>
      </c>
      <c r="X23" s="6">
        <f>5.35*LN(U23/U4)</f>
        <v>-0.000749522783071527</v>
      </c>
      <c r="Y23" s="4">
        <f t="shared" si="5"/>
        <v>1769</v>
      </c>
      <c r="Z23" s="4">
        <f t="shared" si="22"/>
        <v>19</v>
      </c>
      <c r="AA23" s="21">
        <f t="shared" si="6"/>
        <v>7.03</v>
      </c>
      <c r="AB23" s="6">
        <f>AA23+B16</f>
        <v>113.3653745</v>
      </c>
      <c r="AC23" s="24">
        <f t="shared" si="26"/>
        <v>112.22844972711421</v>
      </c>
      <c r="AD23" s="4">
        <f t="shared" si="29"/>
        <v>5.5597749100858245</v>
      </c>
      <c r="AE23" s="4">
        <f t="shared" si="8"/>
        <v>1.1369247728857914</v>
      </c>
      <c r="AF23" s="6">
        <f t="shared" si="30"/>
        <v>623.9649189906379</v>
      </c>
      <c r="AG23" s="30">
        <f>0.036*(SQRT(AF23)-SQRT(B12))</f>
        <v>-0.08150608837190712</v>
      </c>
      <c r="AH23" s="27">
        <v>0</v>
      </c>
      <c r="AI23" s="47">
        <f>AH23+B17</f>
        <v>1.975</v>
      </c>
      <c r="AJ23" s="4">
        <f t="shared" si="9"/>
        <v>2.1668793279982737</v>
      </c>
      <c r="AK23" s="4">
        <f>120*(AI23/AI254)^-0.055</f>
        <v>123.69960739219069</v>
      </c>
      <c r="AL23" s="4">
        <f t="shared" si="0"/>
        <v>-0.19187932799827356</v>
      </c>
      <c r="AM23" s="5">
        <f>AM22+AL22</f>
        <v>268.0421221396404</v>
      </c>
      <c r="AN23" s="26">
        <f>0.12*(SQRT(AM23)-SQRT(B13))</f>
        <v>-0.01445165996086814</v>
      </c>
      <c r="AO23" s="4">
        <f t="shared" si="10"/>
        <v>1.582622131803576</v>
      </c>
      <c r="AP23" s="21">
        <v>0</v>
      </c>
      <c r="AQ23" s="21">
        <f t="shared" si="11"/>
        <v>8.74</v>
      </c>
      <c r="AR23" s="21">
        <f t="shared" si="12"/>
        <v>1.33</v>
      </c>
      <c r="AS23" s="35">
        <f t="shared" si="13"/>
        <v>0.1798633966612442</v>
      </c>
      <c r="AT23" s="36">
        <f>-0.32*LN(AF23/AF254)+0.0042*(AI23-AI254)-0.000105*(AQ23-AQ254)-0.000315*(AR23-AR254)</f>
        <v>0.4590830485533924</v>
      </c>
      <c r="AU23" s="4">
        <f>AU254+5*LN(AF23/AF254)+0.125*(AP23-AP254)+0.0011*(AQ23-AQ254)+0.0033*(AR23-AR254)</f>
        <v>23.66860364760324</v>
      </c>
      <c r="AV23" s="4">
        <f>0.042*(AU23-B14)</f>
        <v>-0.05591864680066387</v>
      </c>
      <c r="AW23" s="4">
        <f>0.05*0.036*(SQRT(AF23)-SQRT(B12))</f>
        <v>-0.004075304418595356</v>
      </c>
      <c r="AX23" s="21">
        <v>0</v>
      </c>
      <c r="AY23" s="36">
        <f>-0.4*(AX23/AX254)</f>
        <v>0</v>
      </c>
      <c r="AZ23" s="36">
        <f>-0.8*LN((B15+AX23)/B15)*(LN((B15+AX254)/B15))^-1</f>
        <v>0</v>
      </c>
      <c r="BA23" s="36">
        <f>-0.1*(AQ23/AQ254)</f>
        <v>-0.0010045977011494253</v>
      </c>
      <c r="BB23" s="6">
        <f t="shared" si="14"/>
        <v>-0.15770582003625544</v>
      </c>
      <c r="BC23" s="6">
        <f t="shared" si="24"/>
        <v>0.00016497258832914863</v>
      </c>
      <c r="BD23" s="4">
        <f t="shared" si="15"/>
        <v>0.8633246786128331</v>
      </c>
      <c r="BE23" s="4">
        <f>SUMPRODUCT(BC$4:BC23,$BD$335:BD$354)</f>
        <v>-0.05976410933117396</v>
      </c>
      <c r="BF23" s="23">
        <f>BE23*B7</f>
        <v>-0.05976410933117396</v>
      </c>
      <c r="BG23" s="48"/>
    </row>
    <row r="24" spans="5:59" ht="15.75" thickTop="1">
      <c r="E24" s="1">
        <f t="shared" si="16"/>
        <v>20</v>
      </c>
      <c r="F24" s="1">
        <f t="shared" si="1"/>
        <v>1770</v>
      </c>
      <c r="G24" s="3">
        <v>0</v>
      </c>
      <c r="H24" s="3">
        <f t="shared" si="17"/>
        <v>0.016000000000000004</v>
      </c>
      <c r="I24" s="5">
        <f t="shared" si="18"/>
        <v>-0.000804696079201173</v>
      </c>
      <c r="J24" s="5">
        <f t="shared" si="19"/>
        <v>0.01872205265367353</v>
      </c>
      <c r="K24" s="4">
        <f t="shared" si="2"/>
        <v>-0.0019173565744723536</v>
      </c>
      <c r="L24" s="4">
        <f t="shared" si="3"/>
        <v>0.00010815342735709301</v>
      </c>
      <c r="M24" s="4">
        <f>60*B8*LN(U24/U4)</f>
        <v>-0.002563572000843498</v>
      </c>
      <c r="N24" s="4">
        <f t="shared" si="20"/>
        <v>-2.7725909816790485E-07</v>
      </c>
      <c r="O24" s="4">
        <f>SUMPRODUCT($M$4:M24,L$334:$L$354)</f>
        <v>-0.0008552022246994078</v>
      </c>
      <c r="P24" s="4">
        <f t="shared" si="21"/>
        <v>-0.0017083697761440904</v>
      </c>
      <c r="Q24" s="4">
        <f>(B5/(B4*B6))*W23</f>
        <v>0.38081957339017425</v>
      </c>
      <c r="R24" s="4">
        <f>(1.558-1.399*B3*0.01)*Q24+(7.4706-0.20207*B3)*0.001*Q24^2-(1.2748-0.12015*B3)*0.00001*Q24^3+(2.4491-0.12639*B3)*0.0000001*Q24^4-(1.5468-0.15326*B3)*0.0000000001*Q24^5</f>
        <v>0.4969039447411497</v>
      </c>
      <c r="S24" s="4">
        <f t="shared" si="27"/>
        <v>0.03183468305609649</v>
      </c>
      <c r="T24" s="5">
        <f>(T4+R24)*EXP(0.0423*BF23)</f>
        <v>279.7886972080219</v>
      </c>
      <c r="U24" s="4">
        <f t="shared" si="25"/>
        <v>279.9583190050642</v>
      </c>
      <c r="V24" s="4">
        <f t="shared" si="4"/>
        <v>0.0005960106123892471</v>
      </c>
      <c r="W24" s="4">
        <f>SUMPRODUCT($J$4:J24,$S$334:S$354)</f>
        <v>0.06347414853785324</v>
      </c>
      <c r="X24" s="6">
        <f>5.35*LN(U24/U4)</f>
        <v>-0.0007964640072307035</v>
      </c>
      <c r="Y24" s="4">
        <f t="shared" si="5"/>
        <v>1770</v>
      </c>
      <c r="Z24" s="4">
        <f t="shared" si="22"/>
        <v>20</v>
      </c>
      <c r="AA24" s="21">
        <f t="shared" si="6"/>
        <v>7.4</v>
      </c>
      <c r="AB24" s="6">
        <f>AA24+B16</f>
        <v>113.7353745</v>
      </c>
      <c r="AC24" s="24">
        <f t="shared" si="26"/>
        <v>112.36554068687971</v>
      </c>
      <c r="AD24" s="4">
        <f t="shared" si="29"/>
        <v>5.563109828354284</v>
      </c>
      <c r="AE24" s="4">
        <f t="shared" si="8"/>
        <v>1.3698338131202945</v>
      </c>
      <c r="AF24" s="6">
        <f t="shared" si="30"/>
        <v>625.1018437635237</v>
      </c>
      <c r="AG24" s="30">
        <f>0.036*(SQRT(AF24)-SQRT(B12))</f>
        <v>-0.08068719670549605</v>
      </c>
      <c r="AH24" s="27">
        <v>0</v>
      </c>
      <c r="AI24" s="47">
        <f>AH24+B17</f>
        <v>1.975</v>
      </c>
      <c r="AJ24" s="4">
        <f t="shared" si="9"/>
        <v>2.1653281563167828</v>
      </c>
      <c r="AK24" s="4">
        <f>120*(AI24/AI254)^-0.055</f>
        <v>123.69960739219069</v>
      </c>
      <c r="AL24" s="4">
        <f t="shared" si="0"/>
        <v>-0.19032815631678268</v>
      </c>
      <c r="AM24" s="5">
        <f t="shared" si="23"/>
        <v>267.85024281164215</v>
      </c>
      <c r="AN24" s="26">
        <f>0.12*(SQRT(AM24)-SQRT(B13))</f>
        <v>-0.015154984320099344</v>
      </c>
      <c r="AO24" s="4">
        <f t="shared" si="10"/>
        <v>1.5815891899841013</v>
      </c>
      <c r="AP24" s="21">
        <v>0</v>
      </c>
      <c r="AQ24" s="21">
        <f t="shared" si="11"/>
        <v>9.200000000000001</v>
      </c>
      <c r="AR24" s="21">
        <f t="shared" si="12"/>
        <v>1.4000000000000001</v>
      </c>
      <c r="AS24" s="35">
        <f t="shared" si="13"/>
        <v>0.17975557392434705</v>
      </c>
      <c r="AT24" s="36">
        <f>-0.32*LN(AF24/AF254)+0.0042*(AI24-AI254)-0.000105*(AQ24-AQ254)-0.000315*(AR24-AR254)</f>
        <v>0.458430157990076</v>
      </c>
      <c r="AU24" s="4">
        <f>AU254+5*LN(AF24/AF254)+0.125*(AP24-AP254)+0.0011*(AQ24-AQ254)+0.0033*(AR24-AR254)</f>
        <v>23.67844284390506</v>
      </c>
      <c r="AV24" s="4">
        <f>0.042*(AU24-B14)</f>
        <v>-0.05550540055598748</v>
      </c>
      <c r="AW24" s="4">
        <f>0.05*0.036*(SQRT(AF24)-SQRT(B12))</f>
        <v>-0.004034359835274803</v>
      </c>
      <c r="AX24" s="21">
        <v>0</v>
      </c>
      <c r="AY24" s="36">
        <f>-0.4*(AX24/AX254)</f>
        <v>0</v>
      </c>
      <c r="AZ24" s="36">
        <f>-0.8*LN((B15+AX24)/B15)*(LN((B15+AX254)/B15))^-1</f>
        <v>0</v>
      </c>
      <c r="BA24" s="36">
        <f>-0.1*(AQ24/AQ254)</f>
        <v>-0.0010574712643678164</v>
      </c>
      <c r="BB24" s="6">
        <f t="shared" si="14"/>
        <v>-0.1572358766884562</v>
      </c>
      <c r="BC24" s="6">
        <f t="shared" si="24"/>
        <v>0.0004699433477992343</v>
      </c>
      <c r="BD24" s="4">
        <f t="shared" si="15"/>
        <v>0.8630136996259146</v>
      </c>
      <c r="BE24" s="4">
        <f>SUMPRODUCT(BC$4:BC24,$BD$334:BD$354)</f>
        <v>-0.06248055668900939</v>
      </c>
      <c r="BF24" s="23">
        <f>BE24*B7</f>
        <v>-0.06248055668900939</v>
      </c>
      <c r="BG24" s="48"/>
    </row>
    <row r="25" spans="5:59" ht="15">
      <c r="E25" s="1">
        <f t="shared" si="16"/>
        <v>21</v>
      </c>
      <c r="F25" s="1">
        <f t="shared" si="1"/>
        <v>1771</v>
      </c>
      <c r="G25" s="3">
        <v>0</v>
      </c>
      <c r="H25" s="3">
        <f t="shared" si="17"/>
        <v>0.016800000000000002</v>
      </c>
      <c r="I25" s="5">
        <f t="shared" si="18"/>
        <v>-0.000802223362268278</v>
      </c>
      <c r="J25" s="5">
        <f t="shared" si="19"/>
        <v>0.018928298485700445</v>
      </c>
      <c r="K25" s="4">
        <f t="shared" si="2"/>
        <v>-0.0013260751234321633</v>
      </c>
      <c r="L25" s="4">
        <f t="shared" si="3"/>
        <v>0.00010924042511408097</v>
      </c>
      <c r="M25" s="4">
        <f>60*B8*LN(U25/U4)</f>
        <v>-0.0026815073899120164</v>
      </c>
      <c r="N25" s="4">
        <f t="shared" si="20"/>
        <v>-2.9292900722053833E-07</v>
      </c>
      <c r="O25" s="4">
        <f>SUMPRODUCT($M$4:M25,L$333:$L$354)</f>
        <v>-0.000978387191816462</v>
      </c>
      <c r="P25" s="4">
        <f t="shared" si="21"/>
        <v>-0.0017031201980955543</v>
      </c>
      <c r="Q25" s="4">
        <f>(B5/(B4*B6))*W24</f>
        <v>0.40258741724561065</v>
      </c>
      <c r="R25" s="4">
        <f>(1.558-1.399*B3*0.01)*Q25+(7.4706-0.20207*B3)*0.001*Q25^2-(1.2748-0.12015*B3)*0.00001*Q25^3+(2.4491-0.12639*B3)*0.0000001*Q25^4-(1.5468-0.15326*B3)*0.0000000001*Q25^5</f>
        <v>0.5253405331493689</v>
      </c>
      <c r="S25" s="4">
        <f t="shared" si="27"/>
        <v>0.03187628796211822</v>
      </c>
      <c r="T25" s="5">
        <f>(T4+R25)*EXP(0.0423*BF24)</f>
        <v>279.78491126420926</v>
      </c>
      <c r="U25" s="4">
        <f t="shared" si="25"/>
        <v>279.9564016484897</v>
      </c>
      <c r="V25" s="4">
        <f t="shared" si="4"/>
        <v>0.0006033638931631137</v>
      </c>
      <c r="W25" s="4">
        <f>SUMPRODUCT($J$4:J25,$S$333:S$354)</f>
        <v>0.06675960487210769</v>
      </c>
      <c r="X25" s="6">
        <f>5.35*LN(U25/U4)</f>
        <v>-0.0008331047930330598</v>
      </c>
      <c r="Y25" s="4">
        <f t="shared" si="5"/>
        <v>1771</v>
      </c>
      <c r="Z25" s="4">
        <f t="shared" si="22"/>
        <v>21</v>
      </c>
      <c r="AA25" s="21">
        <f t="shared" si="6"/>
        <v>7.77</v>
      </c>
      <c r="AB25" s="6">
        <f>AA25+B16</f>
        <v>114.1053745</v>
      </c>
      <c r="AC25" s="24">
        <f t="shared" si="26"/>
        <v>112.5320835048542</v>
      </c>
      <c r="AD25" s="4">
        <f t="shared" si="29"/>
        <v>5.567049485488469</v>
      </c>
      <c r="AE25" s="4">
        <f t="shared" si="8"/>
        <v>1.573290995145797</v>
      </c>
      <c r="AF25" s="6">
        <f t="shared" si="30"/>
        <v>626.471677576644</v>
      </c>
      <c r="AG25" s="30">
        <f>0.036*(SQRT(AF25)-SQRT(B12))</f>
        <v>-0.07970153640026076</v>
      </c>
      <c r="AH25" s="27">
        <v>0</v>
      </c>
      <c r="AI25" s="47">
        <f>AH25+B17</f>
        <v>1.975</v>
      </c>
      <c r="AJ25" s="4">
        <f t="shared" si="9"/>
        <v>2.163789524462331</v>
      </c>
      <c r="AK25" s="4">
        <f>120*(AI25/AI254)^-0.055</f>
        <v>123.69960739219069</v>
      </c>
      <c r="AL25" s="4">
        <f t="shared" si="0"/>
        <v>-0.18878952446233077</v>
      </c>
      <c r="AM25" s="5">
        <f t="shared" si="23"/>
        <v>267.65991465532534</v>
      </c>
      <c r="AN25" s="26">
        <f>0.12*(SQRT(AM25)-SQRT(B13))</f>
        <v>-0.01585287185166919</v>
      </c>
      <c r="AO25" s="4">
        <f t="shared" si="10"/>
        <v>1.5803705337333136</v>
      </c>
      <c r="AP25" s="21">
        <v>0</v>
      </c>
      <c r="AQ25" s="21">
        <f t="shared" si="11"/>
        <v>9.66</v>
      </c>
      <c r="AR25" s="21">
        <f t="shared" si="12"/>
        <v>1.4700000000000002</v>
      </c>
      <c r="AS25" s="35">
        <f t="shared" si="13"/>
        <v>0.1796283655474381</v>
      </c>
      <c r="AT25" s="36">
        <f>-0.32*LN(AF25/AF254)+0.0042*(AI25-AI254)-0.000105*(AQ25-AQ254)-0.000315*(AR25-AR254)</f>
        <v>0.457659334565611</v>
      </c>
      <c r="AU25" s="4">
        <f>AU254+5*LN(AF25/AF254)+0.125*(AP25-AP254)+0.0011*(AQ25-AQ254)+0.0033*(AR25-AR254)</f>
        <v>23.690124741162332</v>
      </c>
      <c r="AV25" s="4">
        <f>0.042*(AU25-B14)</f>
        <v>-0.055014760871182046</v>
      </c>
      <c r="AW25" s="4">
        <f>0.05*0.036*(SQRT(AF25)-SQRT(B12))</f>
        <v>-0.003985076820013038</v>
      </c>
      <c r="AX25" s="21">
        <v>0</v>
      </c>
      <c r="AY25" s="36">
        <f>-0.4*(AX25/AX254)</f>
        <v>0</v>
      </c>
      <c r="AZ25" s="36">
        <f>-0.8*LN((B15+AX25)/B15)*(LN((B15+AX254)/B15))^-1</f>
        <v>0</v>
      </c>
      <c r="BA25" s="36">
        <f>-0.1*(AQ25/AQ254)</f>
        <v>-0.001110344827586207</v>
      </c>
      <c r="BB25" s="6">
        <f t="shared" si="14"/>
        <v>-0.1564976955637443</v>
      </c>
      <c r="BC25" s="6">
        <f t="shared" si="24"/>
        <v>0.0007381811247119119</v>
      </c>
      <c r="BD25" s="4">
        <f t="shared" si="15"/>
        <v>0.8627020130644442</v>
      </c>
      <c r="BE25" s="4">
        <f>SUMPRODUCT(BC$4:BC25,$BD$333:BD$354)</f>
        <v>-0.06499776257494724</v>
      </c>
      <c r="BF25" s="23">
        <f>BE25*B7</f>
        <v>-0.06499776257494724</v>
      </c>
      <c r="BG25" s="48"/>
    </row>
    <row r="26" spans="5:59" ht="15">
      <c r="E26" s="1">
        <f t="shared" si="16"/>
        <v>22</v>
      </c>
      <c r="F26" s="1">
        <f t="shared" si="1"/>
        <v>1772</v>
      </c>
      <c r="G26" s="3">
        <v>0</v>
      </c>
      <c r="H26" s="3">
        <f t="shared" si="17"/>
        <v>0.0176</v>
      </c>
      <c r="I26" s="5">
        <f t="shared" si="18"/>
        <v>-0.0007848850281742976</v>
      </c>
      <c r="J26" s="5">
        <f t="shared" si="19"/>
        <v>0.019073169391877236</v>
      </c>
      <c r="K26" s="4">
        <f t="shared" si="2"/>
        <v>-0.0006882843637029366</v>
      </c>
      <c r="L26" s="4">
        <f t="shared" si="3"/>
        <v>0.0001103383493151859</v>
      </c>
      <c r="M26" s="4">
        <f>60*B8*LN(U26/U4)</f>
        <v>-0.0027630739037427915</v>
      </c>
      <c r="N26" s="4">
        <f t="shared" si="20"/>
        <v>-3.0487301357484645E-07</v>
      </c>
      <c r="O26" s="4">
        <f>SUMPRODUCT($M$4:M26,L$332:$L$354)</f>
        <v>-0.0010967629889287577</v>
      </c>
      <c r="P26" s="4">
        <f t="shared" si="21"/>
        <v>-0.0016663109148140338</v>
      </c>
      <c r="Q26" s="4">
        <f>(B5/(B4*B6))*W25</f>
        <v>0.4234255601833129</v>
      </c>
      <c r="R26" s="4">
        <f>(1.558-1.399*B3*0.01)*Q26+(7.4706-0.20207*B3)*0.001*Q26^2-(1.2748-0.12015*B3)*0.00001*Q26^3+(2.4491-0.12639*B3)*0.0000001*Q26^4-(1.5468-0.15326*B3)*0.0000000001*Q26^5</f>
        <v>0.5525659769475065</v>
      </c>
      <c r="S26" s="4">
        <f t="shared" si="27"/>
        <v>0.0319181194797927</v>
      </c>
      <c r="T26" s="5">
        <f>(T4+R26)*EXP(0.0423*BF25)</f>
        <v>279.7822726586759</v>
      </c>
      <c r="U26" s="4">
        <f t="shared" si="25"/>
        <v>279.9550755733663</v>
      </c>
      <c r="V26" s="4">
        <f t="shared" si="4"/>
        <v>0.0006087796995082627</v>
      </c>
      <c r="W26" s="4">
        <f>SUMPRODUCT($J$4:J26,$S$332:S$354)</f>
        <v>0.06989611355324186</v>
      </c>
      <c r="X26" s="6">
        <f>5.35*LN(U26/U4)</f>
        <v>-0.0008584463057505189</v>
      </c>
      <c r="Y26" s="4">
        <f t="shared" si="5"/>
        <v>1772</v>
      </c>
      <c r="Z26" s="4">
        <f t="shared" si="22"/>
        <v>22</v>
      </c>
      <c r="AA26" s="21">
        <f t="shared" si="6"/>
        <v>8.14</v>
      </c>
      <c r="AB26" s="6">
        <f>AA26+B16</f>
        <v>114.4753745</v>
      </c>
      <c r="AC26" s="24">
        <f t="shared" si="26"/>
        <v>112.72428534208998</v>
      </c>
      <c r="AD26" s="4">
        <f t="shared" si="29"/>
        <v>5.571514307372458</v>
      </c>
      <c r="AE26" s="4">
        <f t="shared" si="8"/>
        <v>1.751089157910016</v>
      </c>
      <c r="AF26" s="6">
        <f t="shared" si="30"/>
        <v>628.0449685717898</v>
      </c>
      <c r="AG26" s="30">
        <f>0.036*(SQRT(AF26)-SQRT(B12))</f>
        <v>-0.0785708076596705</v>
      </c>
      <c r="AH26" s="27">
        <v>0</v>
      </c>
      <c r="AI26" s="47">
        <f>AH26+B17</f>
        <v>1.975</v>
      </c>
      <c r="AJ26" s="4">
        <f t="shared" si="9"/>
        <v>2.1622633310617023</v>
      </c>
      <c r="AK26" s="4">
        <f>120*(AI26/AI254)^-0.055</f>
        <v>123.69960739219069</v>
      </c>
      <c r="AL26" s="4">
        <f t="shared" si="0"/>
        <v>-0.18726333106170223</v>
      </c>
      <c r="AM26" s="5">
        <f t="shared" si="23"/>
        <v>267.471125130863</v>
      </c>
      <c r="AN26" s="26">
        <f>0.12*(SQRT(AM26)-SQRT(B13))</f>
        <v>-0.016545362760442828</v>
      </c>
      <c r="AO26" s="4">
        <f t="shared" si="10"/>
        <v>1.5789915113500264</v>
      </c>
      <c r="AP26" s="21">
        <v>0</v>
      </c>
      <c r="AQ26" s="21">
        <f t="shared" si="11"/>
        <v>10.120000000000001</v>
      </c>
      <c r="AR26" s="21">
        <f t="shared" si="12"/>
        <v>1.54</v>
      </c>
      <c r="AS26" s="35">
        <f t="shared" si="13"/>
        <v>0.17948441749072755</v>
      </c>
      <c r="AT26" s="36">
        <f>-0.32*LN(AF26/AF254)+0.0042*(AI26-AI254)-0.000105*(AQ26-AQ254)-0.000315*(AR26-AR254)</f>
        <v>0.45678635929327</v>
      </c>
      <c r="AU26" s="4">
        <f>AU254+5*LN(AF26/AF254)+0.125*(AP26-AP254)+0.0011*(AQ26-AQ254)+0.0033*(AR26-AR254)</f>
        <v>23.703402761042657</v>
      </c>
      <c r="AV26" s="4">
        <f>0.042*(AU26-B14)</f>
        <v>-0.05445708403620841</v>
      </c>
      <c r="AW26" s="4">
        <f>0.05*0.036*(SQRT(AF26)-SQRT(B12))</f>
        <v>-0.003928540382983525</v>
      </c>
      <c r="AX26" s="21">
        <v>0</v>
      </c>
      <c r="AY26" s="36">
        <f>-0.4*(AX26/AX254)</f>
        <v>0</v>
      </c>
      <c r="AZ26" s="36">
        <f>-0.8*LN((B15+AX26)/B15)*(LN((B15+AX254)/B15))^-1</f>
        <v>0</v>
      </c>
      <c r="BA26" s="36">
        <f>-0.1*(AQ26/AQ254)</f>
        <v>-0.0011632183908045978</v>
      </c>
      <c r="BB26" s="6">
        <f t="shared" si="14"/>
        <v>-0.1555234595358604</v>
      </c>
      <c r="BC26" s="6">
        <f t="shared" si="24"/>
        <v>0.0009742360278839068</v>
      </c>
      <c r="BD26" s="4">
        <f t="shared" si="15"/>
        <v>0.8623896173184427</v>
      </c>
      <c r="BE26" s="4">
        <f>SUMPRODUCT(BC$4:BC26,$BD$332:BD$354)</f>
        <v>-0.06731610729937672</v>
      </c>
      <c r="BF26" s="23">
        <f>BE26*B7</f>
        <v>-0.06731610729937672</v>
      </c>
      <c r="BG26" s="48"/>
    </row>
    <row r="27" spans="5:59" ht="15">
      <c r="E27" s="1">
        <f t="shared" si="16"/>
        <v>23</v>
      </c>
      <c r="F27" s="1">
        <f t="shared" si="1"/>
        <v>1773</v>
      </c>
      <c r="G27" s="3">
        <v>0</v>
      </c>
      <c r="H27" s="3">
        <f t="shared" si="17"/>
        <v>0.0184</v>
      </c>
      <c r="I27" s="5">
        <f t="shared" si="18"/>
        <v>-0.0007526215669730818</v>
      </c>
      <c r="J27" s="5">
        <f t="shared" si="19"/>
        <v>0.019164467129365814</v>
      </c>
      <c r="K27" s="4">
        <f t="shared" si="2"/>
        <v>-1.1845562392732989E-05</v>
      </c>
      <c r="L27" s="4">
        <f t="shared" si="3"/>
        <v>0.00011144730987220822</v>
      </c>
      <c r="M27" s="4">
        <f>60*B8*LN(U27/U4)</f>
        <v>-0.002805410236772025</v>
      </c>
      <c r="N27" s="4">
        <f t="shared" si="20"/>
        <v>-3.126554239761969E-07</v>
      </c>
      <c r="O27" s="4">
        <f>SUMPRODUCT($M$4:M27,L$331:$L$354)</f>
        <v>-0.001207594650088172</v>
      </c>
      <c r="P27" s="4">
        <f t="shared" si="21"/>
        <v>-0.001597815586683853</v>
      </c>
      <c r="Q27" s="4">
        <f>(B5/(B4*B6))*W26</f>
        <v>0.4433189964592357</v>
      </c>
      <c r="R27" s="4">
        <f>(1.558-1.399*B3*0.01)*Q27+(7.4706-0.20207*B3)*0.001*Q27^2-(1.2748-0.12015*B3)*0.00001*Q27^3+(2.4491-0.12639*B3)*0.0000001*Q27^4-(1.5468-0.15326*B3)*0.0000000001*Q27^5</f>
        <v>0.5785602256688045</v>
      </c>
      <c r="S27" s="4">
        <f t="shared" si="27"/>
        <v>0.03196017927755266</v>
      </c>
      <c r="T27" s="5">
        <f>(T4+R27)*EXP(0.0423*BF26)</f>
        <v>279.7807572168105</v>
      </c>
      <c r="U27" s="4">
        <f t="shared" si="25"/>
        <v>279.95438728900257</v>
      </c>
      <c r="V27" s="4">
        <f t="shared" si="4"/>
        <v>0.0006124998052132964</v>
      </c>
      <c r="W27" s="4">
        <f>SUMPRODUCT($J$4:J27,$S$331:S$354)</f>
        <v>0.07288494621836158</v>
      </c>
      <c r="X27" s="6">
        <f>5.35*LN(U27/U4)</f>
        <v>-0.0008715995799494968</v>
      </c>
      <c r="Y27" s="4">
        <f t="shared" si="5"/>
        <v>1773</v>
      </c>
      <c r="Z27" s="4">
        <f t="shared" si="22"/>
        <v>23</v>
      </c>
      <c r="AA27" s="21">
        <f t="shared" si="6"/>
        <v>8.51</v>
      </c>
      <c r="AB27" s="6">
        <f>AA27+B16</f>
        <v>114.8453745</v>
      </c>
      <c r="AC27" s="24">
        <f t="shared" si="26"/>
        <v>112.93883768521655</v>
      </c>
      <c r="AD27" s="4">
        <f t="shared" si="29"/>
        <v>5.576434737933722</v>
      </c>
      <c r="AE27" s="4">
        <f t="shared" si="8"/>
        <v>1.9065368147834505</v>
      </c>
      <c r="AF27" s="6">
        <f t="shared" si="30"/>
        <v>629.7960577296998</v>
      </c>
      <c r="AG27" s="30">
        <f>0.036*(SQRT(AF27)-SQRT(B12))</f>
        <v>-0.07731395899138652</v>
      </c>
      <c r="AH27" s="27">
        <v>0</v>
      </c>
      <c r="AI27" s="47">
        <f>AH27+B17</f>
        <v>1.975</v>
      </c>
      <c r="AJ27" s="4">
        <f t="shared" si="9"/>
        <v>2.1607494755611913</v>
      </c>
      <c r="AK27" s="4">
        <f>120*(AI27/AI254)^-0.055</f>
        <v>123.69960739219069</v>
      </c>
      <c r="AL27" s="4">
        <f t="shared" si="0"/>
        <v>-0.18574947556119126</v>
      </c>
      <c r="AM27" s="5">
        <f t="shared" si="23"/>
        <v>267.2838617998013</v>
      </c>
      <c r="AN27" s="26">
        <f>0.12*(SQRT(AM27)-SQRT(B13))</f>
        <v>-0.017232496980768983</v>
      </c>
      <c r="AO27" s="4">
        <f t="shared" si="10"/>
        <v>1.57747432564428</v>
      </c>
      <c r="AP27" s="21">
        <v>0</v>
      </c>
      <c r="AQ27" s="21">
        <f t="shared" si="11"/>
        <v>10.58</v>
      </c>
      <c r="AR27" s="21">
        <f t="shared" si="12"/>
        <v>1.61</v>
      </c>
      <c r="AS27" s="35">
        <f t="shared" si="13"/>
        <v>0.17932604737530516</v>
      </c>
      <c r="AT27" s="36">
        <f>-0.32*LN(AF27/AF254)+0.0042*(AI27-AI254)-0.000105*(AQ27-AQ254)-0.000315*(AR27-AR254)</f>
        <v>0.45582503995643137</v>
      </c>
      <c r="AU27" s="4">
        <f>AU254+5*LN(AF27/AF254)+0.125*(AP27-AP254)+0.0011*(AQ27-AQ254)+0.0033*(AR27-AR254)</f>
        <v>23.718061156930762</v>
      </c>
      <c r="AV27" s="4">
        <f>0.042*(AU27-B14)</f>
        <v>-0.05384143140890799</v>
      </c>
      <c r="AW27" s="4">
        <f>0.05*0.036*(SQRT(AF27)-SQRT(B12))</f>
        <v>-0.0038656979495693264</v>
      </c>
      <c r="AX27" s="21">
        <v>0</v>
      </c>
      <c r="AY27" s="36">
        <f>-0.4*(AX27/AX254)</f>
        <v>0</v>
      </c>
      <c r="AZ27" s="36">
        <f>-0.8*LN((B15+AX27)/B15)*(LN((B15+AX254)/B15))^-1</f>
        <v>0</v>
      </c>
      <c r="BA27" s="36">
        <f>-0.1*(AQ27/AQ254)</f>
        <v>-0.0012160919540229885</v>
      </c>
      <c r="BB27" s="6">
        <f t="shared" si="14"/>
        <v>-0.15434127686460533</v>
      </c>
      <c r="BC27" s="6">
        <f t="shared" si="24"/>
        <v>0.0011821826712550554</v>
      </c>
      <c r="BD27" s="4">
        <f t="shared" si="15"/>
        <v>0.8620765107742654</v>
      </c>
      <c r="BE27" s="4">
        <f>SUMPRODUCT(BC$4:BC27,$BD$331:BD$354)</f>
        <v>-0.0694374884252816</v>
      </c>
      <c r="BF27" s="23">
        <f>BE27*B7</f>
        <v>-0.0694374884252816</v>
      </c>
      <c r="BG27" s="48"/>
    </row>
    <row r="28" spans="5:59" ht="15">
      <c r="E28" s="1">
        <f t="shared" si="16"/>
        <v>24</v>
      </c>
      <c r="F28" s="1">
        <f t="shared" si="1"/>
        <v>1774</v>
      </c>
      <c r="G28" s="3">
        <v>0</v>
      </c>
      <c r="H28" s="3">
        <f t="shared" si="17"/>
        <v>0.0192</v>
      </c>
      <c r="I28" s="5">
        <f t="shared" si="18"/>
        <v>-0.000705538562664654</v>
      </c>
      <c r="J28" s="5">
        <f t="shared" si="19"/>
        <v>0.01920778764901904</v>
      </c>
      <c r="K28" s="4">
        <f t="shared" si="2"/>
        <v>0.000697750913645611</v>
      </c>
      <c r="L28" s="4">
        <f t="shared" si="3"/>
        <v>0.00011256741780666731</v>
      </c>
      <c r="M28" s="4">
        <f>60*B8*LN(U28/U4)</f>
        <v>-0.0028061388575679773</v>
      </c>
      <c r="N28" s="4">
        <f t="shared" si="20"/>
        <v>-3.1587980520337857E-07</v>
      </c>
      <c r="O28" s="4">
        <f>SUMPRODUCT($M$4:M28,L$330:$L$354)</f>
        <v>-0.0013082804890309167</v>
      </c>
      <c r="P28" s="4">
        <f t="shared" si="21"/>
        <v>-0.0014978583685370606</v>
      </c>
      <c r="Q28" s="4">
        <f>(B5/(B4*B6))*W27</f>
        <v>0.46227579148441494</v>
      </c>
      <c r="R28" s="4">
        <f>(1.558-1.399*B3*0.01)*Q28+(7.4706-0.20207*B3)*0.001*Q28^2-(1.2748-0.12015*B3)*0.00001*Q28^3+(2.4491-0.12639*B3)*0.0000001*Q28^4-(1.5468-0.15326*B3)*0.0000000001*Q28^5</f>
        <v>0.6033333913565934</v>
      </c>
      <c r="S28" s="4">
        <f t="shared" si="27"/>
        <v>0.03200246904116342</v>
      </c>
      <c r="T28" s="5">
        <f>(T4+R28)*EXP(0.0423*BF27)</f>
        <v>279.7803528873401</v>
      </c>
      <c r="U28" s="4">
        <f t="shared" si="25"/>
        <v>279.9543754434402</v>
      </c>
      <c r="V28" s="4">
        <f t="shared" si="4"/>
        <v>0.0006146966295869729</v>
      </c>
      <c r="W28" s="4">
        <f>SUMPRODUCT($J$4:J28,$S$330:S$354)</f>
        <v>0.07572758054368665</v>
      </c>
      <c r="X28" s="6">
        <f>5.35*LN(U28/U4)</f>
        <v>-0.0008718259516834309</v>
      </c>
      <c r="Y28" s="4">
        <f t="shared" si="5"/>
        <v>1774</v>
      </c>
      <c r="Z28" s="4">
        <f t="shared" si="22"/>
        <v>24</v>
      </c>
      <c r="AA28" s="21">
        <f t="shared" si="6"/>
        <v>8.879999999999999</v>
      </c>
      <c r="AB28" s="6">
        <f>AA28+B16</f>
        <v>115.2153745</v>
      </c>
      <c r="AC28" s="24">
        <f t="shared" si="26"/>
        <v>113.17285606403733</v>
      </c>
      <c r="AD28" s="4">
        <f t="shared" si="29"/>
        <v>5.581750046027316</v>
      </c>
      <c r="AE28" s="4">
        <f t="shared" si="8"/>
        <v>2.0425184359626627</v>
      </c>
      <c r="AF28" s="6">
        <f t="shared" si="30"/>
        <v>631.7025945444832</v>
      </c>
      <c r="AG28" s="30">
        <f>0.036*(SQRT(AF28)-SQRT(B12))</f>
        <v>-0.07594752257628212</v>
      </c>
      <c r="AH28" s="27">
        <v>0</v>
      </c>
      <c r="AI28" s="47">
        <f>AH28+B17</f>
        <v>1.975</v>
      </c>
      <c r="AJ28" s="4">
        <f t="shared" si="9"/>
        <v>2.1592478582199797</v>
      </c>
      <c r="AK28" s="4">
        <f>120*(AI28/AI254)^-0.055</f>
        <v>123.69960739219069</v>
      </c>
      <c r="AL28" s="4">
        <f t="shared" si="0"/>
        <v>-0.18424785821997958</v>
      </c>
      <c r="AM28" s="5">
        <f t="shared" si="23"/>
        <v>267.0981123242401</v>
      </c>
      <c r="AN28" s="26">
        <f>0.12*(SQRT(AM28)-SQRT(B13))</f>
        <v>-0.01791431417791628</v>
      </c>
      <c r="AO28" s="4">
        <f t="shared" si="10"/>
        <v>1.5758383872567594</v>
      </c>
      <c r="AP28" s="21">
        <v>0</v>
      </c>
      <c r="AQ28" s="21">
        <f t="shared" si="11"/>
        <v>11.040000000000001</v>
      </c>
      <c r="AR28" s="21">
        <f t="shared" si="12"/>
        <v>1.6800000000000002</v>
      </c>
      <c r="AS28" s="35">
        <f t="shared" si="13"/>
        <v>0.17915528136408174</v>
      </c>
      <c r="AT28" s="36">
        <f>-0.32*LN(AF28/AF254)+0.0042*(AI28-AI254)-0.000105*(AQ28-AQ254)-0.000315*(AR28-AR254)</f>
        <v>0.45478744002059224</v>
      </c>
      <c r="AU28" s="4">
        <f>AU254+5*LN(AF28/AF254)+0.125*(AP28-AP254)+0.0011*(AQ28-AQ254)+0.0033*(AR28-AR254)</f>
        <v>23.733911437178246</v>
      </c>
      <c r="AV28" s="4">
        <f>0.042*(AU28-B14)</f>
        <v>-0.053175719638513655</v>
      </c>
      <c r="AW28" s="4">
        <f>0.05*0.036*(SQRT(AF28)-SQRT(B12))</f>
        <v>-0.003797376128814106</v>
      </c>
      <c r="AX28" s="21">
        <v>0</v>
      </c>
      <c r="AY28" s="36">
        <f>-0.4*(AX28/AX254)</f>
        <v>0</v>
      </c>
      <c r="AZ28" s="36">
        <f>-0.8*LN((B15+AX28)/B15)*(LN((B15+AX254)/B15))^-1</f>
        <v>0</v>
      </c>
      <c r="BA28" s="36">
        <f>-0.1*(AQ28/AQ254)</f>
        <v>-0.0012689655172413794</v>
      </c>
      <c r="BB28" s="6">
        <f t="shared" si="14"/>
        <v>-0.15297572399045098</v>
      </c>
      <c r="BC28" s="6">
        <f t="shared" si="24"/>
        <v>0.0013655528741543521</v>
      </c>
      <c r="BD28" s="4">
        <f t="shared" si="15"/>
        <v>0.8617626918145944</v>
      </c>
      <c r="BE28" s="4">
        <f>SUMPRODUCT(BC$4:BC28,$BD$330:BD$354)</f>
        <v>-0.07136502361129943</v>
      </c>
      <c r="BF28" s="23">
        <f>BE28*B7</f>
        <v>-0.07136502361129943</v>
      </c>
      <c r="BG28" s="48"/>
    </row>
    <row r="29" spans="5:59" ht="15">
      <c r="E29" s="1">
        <f t="shared" si="16"/>
        <v>25</v>
      </c>
      <c r="F29" s="1">
        <f t="shared" si="1"/>
        <v>1775</v>
      </c>
      <c r="G29" s="3">
        <v>0</v>
      </c>
      <c r="H29" s="3">
        <f t="shared" si="17"/>
        <v>0.019999999999999997</v>
      </c>
      <c r="I29" s="5">
        <f t="shared" si="18"/>
        <v>-0.0006438273337007103</v>
      </c>
      <c r="J29" s="5">
        <f t="shared" si="19"/>
        <v>0.019209524683632906</v>
      </c>
      <c r="K29" s="4">
        <f t="shared" si="2"/>
        <v>0.0014343026500678</v>
      </c>
      <c r="L29" s="4">
        <f t="shared" si="3"/>
        <v>0.0001136987852612146</v>
      </c>
      <c r="M29" s="4">
        <f>60*B8*LN(U29/U4)</f>
        <v>-0.0027632202364843046</v>
      </c>
      <c r="N29" s="4">
        <f t="shared" si="20"/>
        <v>-3.1417478429747157E-07</v>
      </c>
      <c r="O29" s="4">
        <f>SUMPRODUCT($M$4:M29,L$329:$L$354)</f>
        <v>-0.0013963748070376966</v>
      </c>
      <c r="P29" s="4">
        <f t="shared" si="21"/>
        <v>-0.001366845429446608</v>
      </c>
      <c r="Q29" s="4">
        <f>(B5/(B4*B6))*W28</f>
        <v>0.48030531748150435</v>
      </c>
      <c r="R29" s="4">
        <f>(1.558-1.399*B3*0.01)*Q29+(7.4706-0.20207*B3)*0.001*Q29^2-(1.2748-0.12015*B3)*0.00001*Q29^3+(2.4491-0.12639*B3)*0.0000001*Q29^4-(1.5468-0.15326*B3)*0.0000000001*Q29^5</f>
        <v>0.6268973187808355</v>
      </c>
      <c r="S29" s="4">
        <f t="shared" si="27"/>
        <v>0.0320449904739468</v>
      </c>
      <c r="T29" s="5">
        <f>(T4+R29)*EXP(0.0423*BF28)</f>
        <v>279.78103490072016</v>
      </c>
      <c r="U29" s="4">
        <f t="shared" si="25"/>
        <v>279.9550731943539</v>
      </c>
      <c r="V29" s="4">
        <f t="shared" si="4"/>
        <v>0.0006155690354960624</v>
      </c>
      <c r="W29" s="4">
        <f>SUMPRODUCT($J$4:J29,$S$329:S$354)</f>
        <v>0.07842754106043956</v>
      </c>
      <c r="X29" s="6">
        <f>5.35*LN(U29/U4)</f>
        <v>-0.0008584917691748566</v>
      </c>
      <c r="Y29" s="4">
        <f t="shared" si="5"/>
        <v>1775</v>
      </c>
      <c r="Z29" s="4">
        <f t="shared" si="22"/>
        <v>25</v>
      </c>
      <c r="AA29" s="21">
        <f t="shared" si="6"/>
        <v>9.25</v>
      </c>
      <c r="AB29" s="6">
        <f>AA29+B16</f>
        <v>115.5853745</v>
      </c>
      <c r="AC29" s="24">
        <f t="shared" si="26"/>
        <v>113.42382681861551</v>
      </c>
      <c r="AD29" s="4">
        <f t="shared" si="29"/>
        <v>5.587407256095449</v>
      </c>
      <c r="AE29" s="4">
        <f t="shared" si="8"/>
        <v>2.1615476813844907</v>
      </c>
      <c r="AF29" s="6">
        <f t="shared" si="30"/>
        <v>633.7451129804458</v>
      </c>
      <c r="AG29" s="30">
        <f>0.036*(SQRT(AF29)-SQRT(B12))</f>
        <v>-0.07448591250163823</v>
      </c>
      <c r="AH29" s="27">
        <v>0</v>
      </c>
      <c r="AI29" s="47">
        <f>AH29+B17</f>
        <v>1.975</v>
      </c>
      <c r="AJ29" s="4">
        <f t="shared" si="9"/>
        <v>2.157758380103563</v>
      </c>
      <c r="AK29" s="4">
        <f>120*(AI29/AI254)^-0.055</f>
        <v>123.69960739219069</v>
      </c>
      <c r="AL29" s="4">
        <f t="shared" si="0"/>
        <v>-0.18275838010356305</v>
      </c>
      <c r="AM29" s="5">
        <f t="shared" si="23"/>
        <v>266.91386446602013</v>
      </c>
      <c r="AN29" s="26">
        <f>0.12*(SQRT(AM29)-SQRT(B13))</f>
        <v>-0.0185908537495078</v>
      </c>
      <c r="AO29" s="4">
        <f t="shared" si="10"/>
        <v>1.574100638035329</v>
      </c>
      <c r="AP29" s="21">
        <v>0</v>
      </c>
      <c r="AQ29" s="21">
        <f t="shared" si="11"/>
        <v>11.5</v>
      </c>
      <c r="AR29" s="21">
        <f t="shared" si="12"/>
        <v>1.7500000000000002</v>
      </c>
      <c r="AS29" s="35">
        <f t="shared" si="13"/>
        <v>0.17897388791716834</v>
      </c>
      <c r="AT29" s="36">
        <f>-0.32*LN(AF29/AF254)+0.0042*(AI29-AI254)-0.000105*(AQ29-AQ254)-0.000315*(AR29-AR254)</f>
        <v>0.45368408571197183</v>
      </c>
      <c r="AU29" s="4">
        <f>AU254+5*LN(AF29/AF254)+0.125*(AP29-AP254)+0.0011*(AQ29-AQ254)+0.0033*(AR29-AR254)</f>
        <v>23.75078912950044</v>
      </c>
      <c r="AV29" s="4">
        <f>0.042*(AU29-B14)</f>
        <v>-0.05246685656098153</v>
      </c>
      <c r="AW29" s="4">
        <f>0.05*0.036*(SQRT(AF29)-SQRT(B12))</f>
        <v>-0.003724295625081912</v>
      </c>
      <c r="AX29" s="21">
        <v>0</v>
      </c>
      <c r="AY29" s="36">
        <f>-0.4*(AX29/AX254)</f>
        <v>0</v>
      </c>
      <c r="AZ29" s="36">
        <f>-0.8*LN((B15+AX29)/B15)*(LN((B15+AX254)/B15))^-1</f>
        <v>0</v>
      </c>
      <c r="BA29" s="36">
        <f>-0.1*(AQ29/AQ254)</f>
        <v>-0.0013218390804597701</v>
      </c>
      <c r="BB29" s="6">
        <f t="shared" si="14"/>
        <v>-0.15144824928684408</v>
      </c>
      <c r="BC29" s="6">
        <f t="shared" si="24"/>
        <v>0.0015274747036068959</v>
      </c>
      <c r="BD29" s="4">
        <f t="shared" si="15"/>
        <v>0.8614481588184295</v>
      </c>
      <c r="BE29" s="4">
        <f>SUMPRODUCT(BC$4:BC29,$BD$329:BD$354)</f>
        <v>-0.07310279942542115</v>
      </c>
      <c r="BF29" s="23">
        <f>BE29*B7</f>
        <v>-0.07310279942542115</v>
      </c>
      <c r="BG29" s="48"/>
    </row>
    <row r="30" spans="5:59" ht="15">
      <c r="E30" s="1">
        <f t="shared" si="16"/>
        <v>26</v>
      </c>
      <c r="F30" s="1">
        <f t="shared" si="1"/>
        <v>1776</v>
      </c>
      <c r="G30" s="3">
        <v>0</v>
      </c>
      <c r="H30" s="3">
        <f t="shared" si="17"/>
        <v>0.020799999999999996</v>
      </c>
      <c r="I30" s="5">
        <f t="shared" si="18"/>
        <v>-0.0005677803920999248</v>
      </c>
      <c r="J30" s="5">
        <f t="shared" si="19"/>
        <v>0.019174783814212427</v>
      </c>
      <c r="K30" s="4">
        <f t="shared" si="2"/>
        <v>0.002192996577887494</v>
      </c>
      <c r="L30" s="4">
        <f t="shared" si="3"/>
        <v>0.00011484152551117572</v>
      </c>
      <c r="M30" s="4">
        <f>60*B8*LN(U30/U4)</f>
        <v>-0.002674996693747202</v>
      </c>
      <c r="N30" s="4">
        <f t="shared" si="20"/>
        <v>-3.0720070104728E-07</v>
      </c>
      <c r="O30" s="4">
        <f>SUMPRODUCT($M$4:M30,L$328:$L$354)</f>
        <v>-0.0014695989213190613</v>
      </c>
      <c r="P30" s="4">
        <f t="shared" si="21"/>
        <v>-0.0012053977724281405</v>
      </c>
      <c r="Q30" s="4">
        <f>(B5/(B4*B6))*W29</f>
        <v>0.4974299289358266</v>
      </c>
      <c r="R30" s="4">
        <f>(1.558-1.399*B3*0.01)*Q30+(7.4706-0.20207*B3)*0.001*Q30^2-(1.2748-0.12015*B3)*0.00001*Q30^3+(2.4491-0.12639*B3)*0.0000001*Q30^4-(1.5468-0.15326*B3)*0.0000000001*Q30^5</f>
        <v>0.6492808474397402</v>
      </c>
      <c r="S30" s="4">
        <f t="shared" si="27"/>
        <v>0.03208774529700819</v>
      </c>
      <c r="T30" s="5">
        <f>(T4+R30)*EXP(0.0423*BF29)</f>
        <v>279.7827839556472</v>
      </c>
      <c r="U30" s="4">
        <f t="shared" si="25"/>
        <v>279.95650749700394</v>
      </c>
      <c r="V30" s="4">
        <f t="shared" si="4"/>
        <v>0.0006152755791556436</v>
      </c>
      <c r="W30" s="4">
        <f>SUMPRODUCT($J$4:J30,$S$328:S$354)</f>
        <v>0.08098868705906091</v>
      </c>
      <c r="X30" s="6">
        <f>5.35*LN(U30/U4)</f>
        <v>-0.0008310820157693107</v>
      </c>
      <c r="Y30" s="4">
        <f t="shared" si="5"/>
        <v>1776</v>
      </c>
      <c r="Z30" s="4">
        <f t="shared" si="22"/>
        <v>26</v>
      </c>
      <c r="AA30" s="21">
        <f t="shared" si="6"/>
        <v>9.62</v>
      </c>
      <c r="AB30" s="6">
        <f>AA30+B16</f>
        <v>115.9553745</v>
      </c>
      <c r="AC30" s="24">
        <f t="shared" si="26"/>
        <v>113.68956021421329</v>
      </c>
      <c r="AD30" s="4">
        <f t="shared" si="29"/>
        <v>5.59336019475894</v>
      </c>
      <c r="AE30" s="4">
        <f t="shared" si="8"/>
        <v>2.2658142857867176</v>
      </c>
      <c r="AF30" s="6">
        <f t="shared" si="30"/>
        <v>635.9066606618303</v>
      </c>
      <c r="AG30" s="30">
        <f>0.036*(SQRT(AF30)-SQRT(B12))</f>
        <v>-0.07294168896178535</v>
      </c>
      <c r="AH30" s="27">
        <v>0</v>
      </c>
      <c r="AI30" s="47">
        <f>AH30+B17</f>
        <v>1.975</v>
      </c>
      <c r="AJ30" s="4">
        <f t="shared" si="9"/>
        <v>2.1562809430772343</v>
      </c>
      <c r="AK30" s="4">
        <f>120*(AI30/AI254)^-0.055</f>
        <v>123.69960739219069</v>
      </c>
      <c r="AL30" s="4">
        <f t="shared" si="0"/>
        <v>-0.1812809430772342</v>
      </c>
      <c r="AM30" s="5">
        <f t="shared" si="23"/>
        <v>266.73110608591657</v>
      </c>
      <c r="AN30" s="26">
        <f>0.12*(SQRT(AM30)-SQRT(B13))</f>
        <v>-0.01926215482695099</v>
      </c>
      <c r="AO30" s="4">
        <f t="shared" si="10"/>
        <v>1.572275844213086</v>
      </c>
      <c r="AP30" s="21">
        <v>0</v>
      </c>
      <c r="AQ30" s="21">
        <f t="shared" si="11"/>
        <v>11.96</v>
      </c>
      <c r="AR30" s="21">
        <f t="shared" si="12"/>
        <v>1.8200000000000003</v>
      </c>
      <c r="AS30" s="35">
        <f t="shared" si="13"/>
        <v>0.17878340839501353</v>
      </c>
      <c r="AT30" s="36">
        <f>-0.32*LN(AF30/AF254)+0.0042*(AI30-AI254)-0.000105*(AQ30-AQ254)-0.000315*(AR30-AR254)</f>
        <v>0.45252415203134894</v>
      </c>
      <c r="AU30" s="4">
        <f>AU254+5*LN(AF30/AF254)+0.125*(AP30-AP254)+0.0011*(AQ30-AQ254)+0.0033*(AR30-AR254)</f>
        <v>23.768550874510172</v>
      </c>
      <c r="AV30" s="4">
        <f>0.042*(AU30-B14)</f>
        <v>-0.05172086327057277</v>
      </c>
      <c r="AW30" s="4">
        <f>0.05*0.036*(SQRT(AF30)-SQRT(B12))</f>
        <v>-0.003647084448089268</v>
      </c>
      <c r="AX30" s="21">
        <v>0</v>
      </c>
      <c r="AY30" s="36">
        <f>-0.4*(AX30/AX254)</f>
        <v>0</v>
      </c>
      <c r="AZ30" s="36">
        <f>-0.8*LN((B15+AX30)/B15)*(LN((B15+AX254)/B15))^-1</f>
        <v>0</v>
      </c>
      <c r="BA30" s="36">
        <f>-0.1*(AQ30/AQ254)</f>
        <v>-0.0013747126436781613</v>
      </c>
      <c r="BB30" s="6">
        <f t="shared" si="14"/>
        <v>-0.14977758616684586</v>
      </c>
      <c r="BC30" s="6">
        <f t="shared" si="24"/>
        <v>0.0016706631199982225</v>
      </c>
      <c r="BD30" s="4">
        <f t="shared" si="15"/>
        <v>0.8611329101610797</v>
      </c>
      <c r="BE30" s="4">
        <f>SUMPRODUCT(BC$4:BC30,$BD$328:BD$354)</f>
        <v>-0.07465565635434405</v>
      </c>
      <c r="BF30" s="23">
        <f>BE30*B7</f>
        <v>-0.07465565635434405</v>
      </c>
      <c r="BG30" s="48"/>
    </row>
    <row r="31" spans="5:59" ht="15">
      <c r="E31" s="1">
        <f t="shared" si="16"/>
        <v>27</v>
      </c>
      <c r="F31" s="1">
        <f t="shared" si="1"/>
        <v>1777</v>
      </c>
      <c r="G31" s="3">
        <v>0</v>
      </c>
      <c r="H31" s="3">
        <f t="shared" si="17"/>
        <v>0.021599999999999994</v>
      </c>
      <c r="I31" s="5">
        <f t="shared" si="18"/>
        <v>-0.00047774763897044485</v>
      </c>
      <c r="J31" s="5">
        <f t="shared" si="19"/>
        <v>0.01910881682563341</v>
      </c>
      <c r="K31" s="4">
        <f t="shared" si="2"/>
        <v>0.0029689308133370312</v>
      </c>
      <c r="L31" s="4">
        <f t="shared" si="3"/>
        <v>0.00011599575297622212</v>
      </c>
      <c r="M31" s="4">
        <f>60*B8*LN(U31/U4)</f>
        <v>-0.002540106979973395</v>
      </c>
      <c r="N31" s="4">
        <f t="shared" si="20"/>
        <v>-2.946416217821715E-07</v>
      </c>
      <c r="O31" s="4">
        <f>SUMPRODUCT($M$4:M31,L$327:$L$354)</f>
        <v>-0.0015258487424391403</v>
      </c>
      <c r="P31" s="4">
        <f t="shared" si="21"/>
        <v>-0.0010142582375342545</v>
      </c>
      <c r="Q31" s="4">
        <f>(B5/(B4*B6))*W30</f>
        <v>0.5136741035569168</v>
      </c>
      <c r="R31" s="4">
        <f>(1.558-1.399*B3*0.01)*Q31+(7.4706-0.20207*B3)*0.001*Q31^2-(1.2748-0.12015*B3)*0.00001*Q31^3+(2.4491-0.12639*B3)*0.0000001*Q31^4-(1.5468-0.15326*B3)*0.0000000001*Q31^5</f>
        <v>0.6705156230682893</v>
      </c>
      <c r="S31" s="4">
        <f t="shared" si="27"/>
        <v>0.03213073524946693</v>
      </c>
      <c r="T31" s="5">
        <f>(T4+R31)*EXP(0.0423*BF30)</f>
        <v>279.7855746131416</v>
      </c>
      <c r="U31" s="4">
        <f t="shared" si="25"/>
        <v>279.95870049358183</v>
      </c>
      <c r="V31" s="4">
        <f t="shared" si="4"/>
        <v>0.000613980334354986</v>
      </c>
      <c r="W31" s="4">
        <f>SUMPRODUCT($J$4:J31,$S$327:S$354)</f>
        <v>0.08341600872824642</v>
      </c>
      <c r="X31" s="6">
        <f>5.35*LN(U31/U4)</f>
        <v>-0.0007891737713622336</v>
      </c>
      <c r="Y31" s="4">
        <f t="shared" si="5"/>
        <v>1777</v>
      </c>
      <c r="Z31" s="4">
        <f t="shared" si="22"/>
        <v>27</v>
      </c>
      <c r="AA31" s="21">
        <f t="shared" si="6"/>
        <v>9.99</v>
      </c>
      <c r="AB31" s="6">
        <f>AA31+B16</f>
        <v>116.3253745</v>
      </c>
      <c r="AC31" s="24">
        <f t="shared" si="26"/>
        <v>113.96814923876417</v>
      </c>
      <c r="AD31" s="4">
        <f t="shared" si="29"/>
        <v>5.59956864448716</v>
      </c>
      <c r="AE31" s="4">
        <f t="shared" si="8"/>
        <v>2.3572252612358255</v>
      </c>
      <c r="AF31" s="6">
        <f t="shared" si="30"/>
        <v>638.172474947617</v>
      </c>
      <c r="AG31" s="30">
        <f>0.036*(SQRT(AF31)-SQRT(B12))</f>
        <v>-0.07132579155710592</v>
      </c>
      <c r="AH31" s="27">
        <v>0</v>
      </c>
      <c r="AI31" s="47">
        <f>AH31+B17</f>
        <v>1.975</v>
      </c>
      <c r="AJ31" s="4">
        <f t="shared" si="9"/>
        <v>2.1548154497996164</v>
      </c>
      <c r="AK31" s="4">
        <f>120*(AI31/AI254)^-0.055</f>
        <v>123.69960739219069</v>
      </c>
      <c r="AL31" s="4">
        <f t="shared" si="0"/>
        <v>-0.17981544979961628</v>
      </c>
      <c r="AM31" s="5">
        <f t="shared" si="23"/>
        <v>266.5498251428393</v>
      </c>
      <c r="AN31" s="26">
        <f>0.12*(SQRT(AM31)-SQRT(B13))</f>
        <v>-0.01992825627686841</v>
      </c>
      <c r="AO31" s="4">
        <f t="shared" si="10"/>
        <v>1.5703768601608585</v>
      </c>
      <c r="AP31" s="21">
        <v>0</v>
      </c>
      <c r="AQ31" s="21">
        <f t="shared" si="11"/>
        <v>12.42</v>
      </c>
      <c r="AR31" s="21">
        <f t="shared" si="12"/>
        <v>1.8900000000000001</v>
      </c>
      <c r="AS31" s="35">
        <f t="shared" si="13"/>
        <v>0.17858518458997935</v>
      </c>
      <c r="AT31" s="36">
        <f>-0.32*LN(AF31/AF254)+0.0042*(AI31-AI254)-0.000105*(AQ31-AQ254)-0.000315*(AR31-AR254)</f>
        <v>0.451315628874647</v>
      </c>
      <c r="AU31" s="4">
        <f>AU254+5*LN(AF31/AF254)+0.125*(AP31-AP254)+0.0011*(AQ31-AQ254)+0.0033*(AR31-AR254)</f>
        <v>23.787071830083644</v>
      </c>
      <c r="AV31" s="4">
        <f>0.042*(AU31-B14)</f>
        <v>-0.05094298313648697</v>
      </c>
      <c r="AW31" s="4">
        <f>0.05*0.036*(SQRT(AF31)-SQRT(B12))</f>
        <v>-0.0035662895778552956</v>
      </c>
      <c r="AX31" s="21">
        <v>0</v>
      </c>
      <c r="AY31" s="36">
        <f>-0.4*(AX31/AX254)</f>
        <v>0</v>
      </c>
      <c r="AZ31" s="36">
        <f>-0.8*LN((B15+AX31)/B15)*(LN((B15+AX254)/B15))^-1</f>
        <v>0</v>
      </c>
      <c r="BA31" s="36">
        <f>-0.1*(AQ31/AQ254)</f>
        <v>-0.0014275862068965518</v>
      </c>
      <c r="BB31" s="6">
        <f t="shared" si="14"/>
        <v>-0.14798008052657538</v>
      </c>
      <c r="BC31" s="6">
        <f t="shared" si="24"/>
        <v>0.0017975056402704803</v>
      </c>
      <c r="BD31" s="4">
        <f t="shared" si="15"/>
        <v>0.860816944214155</v>
      </c>
      <c r="BE31" s="4">
        <f>SUMPRODUCT(BC$4:BC31,$BD$327:BD$354)</f>
        <v>-0.07602900804948878</v>
      </c>
      <c r="BF31" s="23">
        <f>BE31*B7</f>
        <v>-0.07602900804948878</v>
      </c>
      <c r="BG31" s="48"/>
    </row>
    <row r="32" spans="5:59" ht="15">
      <c r="E32" s="1">
        <f t="shared" si="16"/>
        <v>28</v>
      </c>
      <c r="F32" s="1">
        <f t="shared" si="1"/>
        <v>1778</v>
      </c>
      <c r="G32" s="3">
        <v>0</v>
      </c>
      <c r="H32" s="3">
        <f t="shared" si="17"/>
        <v>0.022399999999999993</v>
      </c>
      <c r="I32" s="5">
        <f t="shared" si="18"/>
        <v>-0.0003741385029627779</v>
      </c>
      <c r="J32" s="5">
        <f t="shared" si="19"/>
        <v>0.019016049582407622</v>
      </c>
      <c r="K32" s="4">
        <f t="shared" si="2"/>
        <v>0.003758088920555149</v>
      </c>
      <c r="L32" s="4">
        <f t="shared" si="3"/>
        <v>0.00011716158323217482</v>
      </c>
      <c r="M32" s="4">
        <f>60*B8*LN(U32/U4)</f>
        <v>-0.002357491767695815</v>
      </c>
      <c r="N32" s="4">
        <f t="shared" si="20"/>
        <v>-2.762074679600602E-07</v>
      </c>
      <c r="O32" s="4">
        <f>SUMPRODUCT($M$4:M32,L$326:$L$354)</f>
        <v>-0.0015631957259058375</v>
      </c>
      <c r="P32" s="4">
        <f t="shared" si="21"/>
        <v>-0.0007942960417899776</v>
      </c>
      <c r="Q32" s="4">
        <f>(B5/(B4*B6))*W31</f>
        <v>0.529069491823353</v>
      </c>
      <c r="R32" s="4">
        <f>(1.558-1.399*B3*0.01)*Q32+(7.4706-0.20207*B3)*0.001*Q32^2-(1.2748-0.12015*B3)*0.00001*Q32^3+(2.4491-0.12639*B3)*0.0000001*Q32^4-(1.5468-0.15326*B3)*0.0000000001*Q32^5</f>
        <v>0.6906426991664362</v>
      </c>
      <c r="S32" s="4">
        <f t="shared" si="27"/>
        <v>0.032173962088689854</v>
      </c>
      <c r="T32" s="5">
        <f>(T4+R32)*EXP(0.0423*BF31)</f>
        <v>279.78938401517854</v>
      </c>
      <c r="U32" s="4">
        <f t="shared" si="25"/>
        <v>279.96166942439515</v>
      </c>
      <c r="V32" s="4">
        <f t="shared" si="4"/>
        <v>0.0006118216583410294</v>
      </c>
      <c r="W32" s="4">
        <f>SUMPRODUCT($J$4:J32,$S$326:S$354)</f>
        <v>0.08571475545627331</v>
      </c>
      <c r="X32" s="6">
        <f>5.35*LN(U32/U4)</f>
        <v>-0.0007324379185349948</v>
      </c>
      <c r="Y32" s="4">
        <f t="shared" si="5"/>
        <v>1778</v>
      </c>
      <c r="Z32" s="4">
        <f t="shared" si="22"/>
        <v>28</v>
      </c>
      <c r="AA32" s="21">
        <f t="shared" si="6"/>
        <v>10.36</v>
      </c>
      <c r="AB32" s="6">
        <f>AA32+B16</f>
        <v>116.6953745</v>
      </c>
      <c r="AC32" s="24">
        <f t="shared" si="26"/>
        <v>114.25793346235207</v>
      </c>
      <c r="AD32" s="4">
        <f t="shared" si="29"/>
        <v>5.6059975950808445</v>
      </c>
      <c r="AE32" s="4">
        <f t="shared" si="8"/>
        <v>2.437441037647929</v>
      </c>
      <c r="AF32" s="6">
        <f t="shared" si="30"/>
        <v>640.5297002088529</v>
      </c>
      <c r="AG32" s="30">
        <f>0.036*(SQRT(AF32)-SQRT(B12))</f>
        <v>-0.06964774474523502</v>
      </c>
      <c r="AH32" s="27">
        <v>0</v>
      </c>
      <c r="AI32" s="47">
        <f>AH32+B17</f>
        <v>1.975</v>
      </c>
      <c r="AJ32" s="4">
        <f t="shared" si="9"/>
        <v>2.1533618037162503</v>
      </c>
      <c r="AK32" s="4">
        <f>120*(AI32/AI254)^-0.055</f>
        <v>123.69960739219069</v>
      </c>
      <c r="AL32" s="4">
        <f t="shared" si="0"/>
        <v>-0.1783618037162502</v>
      </c>
      <c r="AM32" s="5">
        <f t="shared" si="23"/>
        <v>266.3700096930397</v>
      </c>
      <c r="AN32" s="26">
        <f>0.12*(SQRT(AM32)-SQRT(B13))</f>
        <v>-0.020589196702524647</v>
      </c>
      <c r="AO32" s="4">
        <f t="shared" si="10"/>
        <v>1.5684148641627487</v>
      </c>
      <c r="AP32" s="21">
        <v>0</v>
      </c>
      <c r="AQ32" s="21">
        <f t="shared" si="11"/>
        <v>12.88</v>
      </c>
      <c r="AR32" s="21">
        <f t="shared" si="12"/>
        <v>1.9600000000000002</v>
      </c>
      <c r="AS32" s="35">
        <f t="shared" si="13"/>
        <v>0.17838038333756703</v>
      </c>
      <c r="AT32" s="36">
        <f>-0.32*LN(AF32/AF254)+0.0042*(AI32-AI254)-0.000105*(AQ32-AQ254)-0.000315*(AR32-AR254)</f>
        <v>0.450065468669088</v>
      </c>
      <c r="AU32" s="4">
        <f>AU254+5*LN(AF32/AF254)+0.125*(AP32-AP254)+0.0011*(AQ32-AQ254)+0.0033*(AR32-AR254)</f>
        <v>23.806243364545505</v>
      </c>
      <c r="AV32" s="4">
        <f>0.042*(AU32-B14)</f>
        <v>-0.05013777868908879</v>
      </c>
      <c r="AW32" s="4">
        <f>0.05*0.036*(SQRT(AF32)-SQRT(B12))</f>
        <v>-0.0034823872372617515</v>
      </c>
      <c r="AX32" s="21">
        <v>0</v>
      </c>
      <c r="AY32" s="36">
        <f>-0.4*(AX32/AX254)</f>
        <v>0</v>
      </c>
      <c r="AZ32" s="36">
        <f>-0.8*LN((B15+AX32)/B15)*(LN((B15+AX254)/B15))^-1</f>
        <v>0</v>
      </c>
      <c r="BA32" s="36">
        <f>-0.1*(AQ32/AQ254)</f>
        <v>-0.0014804597701149427</v>
      </c>
      <c r="BB32" s="6">
        <f t="shared" si="14"/>
        <v>-0.14607000506276016</v>
      </c>
      <c r="BC32" s="6">
        <f t="shared" si="24"/>
        <v>0.0019100754638152195</v>
      </c>
      <c r="BD32" s="4">
        <f t="shared" si="15"/>
        <v>0.8605002593455577</v>
      </c>
      <c r="BE32" s="4">
        <f>SUMPRODUCT(BC$4:BC32,$BD$326:BD$354)</f>
        <v>-0.07722868839399763</v>
      </c>
      <c r="BF32" s="23">
        <f>BE32*B7</f>
        <v>-0.07722868839399763</v>
      </c>
      <c r="BG32" s="48"/>
    </row>
    <row r="33" spans="5:59" ht="15">
      <c r="E33" s="1">
        <f t="shared" si="16"/>
        <v>29</v>
      </c>
      <c r="F33" s="1">
        <f t="shared" si="1"/>
        <v>1779</v>
      </c>
      <c r="G33" s="3">
        <v>0</v>
      </c>
      <c r="H33" s="3">
        <f t="shared" si="17"/>
        <v>0.02319999999999999</v>
      </c>
      <c r="I33" s="5">
        <f t="shared" si="18"/>
        <v>-0.00025739695622612905</v>
      </c>
      <c r="J33" s="5">
        <f t="shared" si="19"/>
        <v>0.018900775303680378</v>
      </c>
      <c r="K33" s="4">
        <f t="shared" si="2"/>
        <v>0.004556621652545743</v>
      </c>
      <c r="L33" s="4">
        <f t="shared" si="3"/>
        <v>0.00011833913302294279</v>
      </c>
      <c r="M33" s="4">
        <f>60*B8*LN(U33/U4)</f>
        <v>-0.0021263392067023272</v>
      </c>
      <c r="N33" s="4">
        <f t="shared" si="20"/>
        <v>-2.5162913823384534E-07</v>
      </c>
      <c r="O33" s="4">
        <f>SUMPRODUCT($M$4:M33,L$325:$L$354)</f>
        <v>-0.0015798854686342552</v>
      </c>
      <c r="P33" s="4">
        <f t="shared" si="21"/>
        <v>-0.0005464537380680721</v>
      </c>
      <c r="Q33" s="4">
        <f>(B5/(B4*B6))*W32</f>
        <v>0.5436493881977998</v>
      </c>
      <c r="R33" s="4">
        <f>(1.558-1.399*B3*0.01)*Q33+(7.4706-0.20207*B3)*0.001*Q33^2-(1.2748-0.12015*B3)*0.00001*Q33^3+(2.4491-0.12639*B3)*0.0000001*Q33^4-(1.5468-0.15326*B3)*0.0000000001*Q33^5</f>
        <v>0.7097053104096729</v>
      </c>
      <c r="S33" s="4">
        <f t="shared" si="27"/>
        <v>0.032217427590528314</v>
      </c>
      <c r="T33" s="5">
        <f>(T4+R33)*EXP(0.0423*BF32)</f>
        <v>279.7941864890644</v>
      </c>
      <c r="U33" s="4">
        <f t="shared" si="25"/>
        <v>279.9654275133157</v>
      </c>
      <c r="V33" s="4">
        <f t="shared" si="4"/>
        <v>0.0006089343597511684</v>
      </c>
      <c r="W33" s="4">
        <f>SUMPRODUCT($J$4:J33,$S$325:S$354)</f>
        <v>0.08789076139794248</v>
      </c>
      <c r="X33" s="6">
        <f>5.35*LN(U33/U4)</f>
        <v>-0.0006606222274017103</v>
      </c>
      <c r="Y33" s="4">
        <f t="shared" si="5"/>
        <v>1779</v>
      </c>
      <c r="Z33" s="4">
        <f t="shared" si="22"/>
        <v>29</v>
      </c>
      <c r="AA33" s="21">
        <f t="shared" si="6"/>
        <v>10.73</v>
      </c>
      <c r="AB33" s="6">
        <f>AA33+B16</f>
        <v>117.0653745</v>
      </c>
      <c r="AC33" s="24">
        <f t="shared" si="26"/>
        <v>114.55746738738269</v>
      </c>
      <c r="AD33" s="4">
        <f t="shared" si="29"/>
        <v>5.612616583712263</v>
      </c>
      <c r="AE33" s="4">
        <f t="shared" si="8"/>
        <v>2.5079071126173176</v>
      </c>
      <c r="AF33" s="6">
        <f t="shared" si="30"/>
        <v>642.9671412465008</v>
      </c>
      <c r="AG33" s="30">
        <f>0.036*(SQRT(AF33)-SQRT(B12))</f>
        <v>-0.06791583835203373</v>
      </c>
      <c r="AH33" s="27">
        <v>0</v>
      </c>
      <c r="AI33" s="47">
        <f>AH33+B17</f>
        <v>1.975</v>
      </c>
      <c r="AJ33" s="4">
        <f t="shared" si="9"/>
        <v>2.1519199090532317</v>
      </c>
      <c r="AK33" s="4">
        <f>120*(AI33/AI254)^-0.055</f>
        <v>123.69960739219069</v>
      </c>
      <c r="AL33" s="4">
        <f t="shared" si="0"/>
        <v>-0.17691990905323163</v>
      </c>
      <c r="AM33" s="5">
        <f t="shared" si="23"/>
        <v>266.19164788932346</v>
      </c>
      <c r="AN33" s="26">
        <f>0.12*(SQRT(AM33)-SQRT(B13))</f>
        <v>-0.021245014445251086</v>
      </c>
      <c r="AO33" s="4">
        <f t="shared" si="10"/>
        <v>1.56639956807424</v>
      </c>
      <c r="AP33" s="21">
        <v>0</v>
      </c>
      <c r="AQ33" s="21">
        <f t="shared" si="11"/>
        <v>13.34</v>
      </c>
      <c r="AR33" s="21">
        <f t="shared" si="12"/>
        <v>2.0300000000000002</v>
      </c>
      <c r="AS33" s="35">
        <f t="shared" si="13"/>
        <v>0.17817001840139704</v>
      </c>
      <c r="AT33" s="36">
        <f>-0.32*LN(AF33/AF254)+0.0042*(AI33-AI254)-0.000105*(AQ33-AQ254)-0.000315*(AR33-AR254)</f>
        <v>0.4487797170498421</v>
      </c>
      <c r="AU33" s="4">
        <f>AU254+5*LN(AF33/AF254)+0.125*(AP33-AP254)+0.0011*(AQ33-AQ254)+0.0033*(AR33-AR254)</f>
        <v>23.825971014846218</v>
      </c>
      <c r="AV33" s="4">
        <f>0.042*(AU33-B14)</f>
        <v>-0.049309217376458866</v>
      </c>
      <c r="AW33" s="4">
        <f>0.05*0.036*(SQRT(AF33)-SQRT(B12))</f>
        <v>-0.0033957919176016865</v>
      </c>
      <c r="AX33" s="21">
        <v>0</v>
      </c>
      <c r="AY33" s="36">
        <f>-0.4*(AX33/AX254)</f>
        <v>0</v>
      </c>
      <c r="AZ33" s="36">
        <f>-0.8*LN((B15+AX33)/B15)*(LN((B15+AX254)/B15))^-1</f>
        <v>0</v>
      </c>
      <c r="BA33" s="36">
        <f>-0.1*(AQ33/AQ254)</f>
        <v>-0.0015333333333333334</v>
      </c>
      <c r="BB33" s="6">
        <f t="shared" si="14"/>
        <v>-0.14405981765208042</v>
      </c>
      <c r="BC33" s="6">
        <f t="shared" si="24"/>
        <v>0.002010187410679737</v>
      </c>
      <c r="BD33" s="4">
        <f t="shared" si="15"/>
        <v>0.8601828539194734</v>
      </c>
      <c r="BE33" s="4">
        <f>SUMPRODUCT(BC$4:BC33,$BD$325:BD$354)</f>
        <v>-0.07826082390464043</v>
      </c>
      <c r="BF33" s="23">
        <f>BE33*B7</f>
        <v>-0.07826082390464043</v>
      </c>
      <c r="BG33" s="48"/>
    </row>
    <row r="34" spans="5:59" ht="15">
      <c r="E34" s="1">
        <f t="shared" si="16"/>
        <v>30</v>
      </c>
      <c r="F34" s="1">
        <f t="shared" si="1"/>
        <v>1780</v>
      </c>
      <c r="G34" s="3">
        <v>0</v>
      </c>
      <c r="H34" s="3">
        <f t="shared" si="17"/>
        <v>0.02399999999999999</v>
      </c>
      <c r="I34" s="5">
        <f t="shared" si="18"/>
        <v>-0.00012799901729387638</v>
      </c>
      <c r="J34" s="5">
        <f t="shared" si="19"/>
        <v>0.018766709434131192</v>
      </c>
      <c r="K34" s="4">
        <f t="shared" si="2"/>
        <v>0.005361289583162673</v>
      </c>
      <c r="L34" s="4">
        <f t="shared" si="3"/>
        <v>0.00011952852027259693</v>
      </c>
      <c r="M34" s="4">
        <f>60*B8*LN(U34/U4)</f>
        <v>-0.0018460746503753973</v>
      </c>
      <c r="N34" s="4">
        <f t="shared" si="20"/>
        <v>-2.2065857127212296E-07</v>
      </c>
      <c r="O34" s="4">
        <f>SUMPRODUCT($M$4:M34,L$324:$L$354)</f>
        <v>-0.0015743327366604977</v>
      </c>
      <c r="P34" s="4">
        <f t="shared" si="21"/>
        <v>-0.00027174191371489957</v>
      </c>
      <c r="Q34" s="4">
        <f>(B5/(B4*B6))*W33</f>
        <v>0.5574507960488286</v>
      </c>
      <c r="R34" s="4">
        <f>(1.558-1.399*B3*0.01)*Q34+(7.4706-0.20207*B3)*0.001*Q34^2-(1.2748-0.12015*B3)*0.00001*Q34^3+(2.4491-0.12639*B3)*0.0000001*Q34^4-(1.5468-0.15326*B3)*0.0000000001*Q34^5</f>
        <v>0.7277515716497173</v>
      </c>
      <c r="S34" s="4">
        <f t="shared" si="27"/>
        <v>0.03226113354955844</v>
      </c>
      <c r="T34" s="5">
        <f>(T4+R34)*EXP(0.0423*BF33)</f>
        <v>279.79995774749506</v>
      </c>
      <c r="U34" s="4">
        <f t="shared" si="25"/>
        <v>279.9699841349683</v>
      </c>
      <c r="V34" s="4">
        <f t="shared" si="4"/>
        <v>0.0006054353193402646</v>
      </c>
      <c r="W34" s="4">
        <f>SUMPRODUCT($J$4:J34,$S$324:S$354)</f>
        <v>0.08994999136636875</v>
      </c>
      <c r="X34" s="6">
        <f>5.35*LN(U34/U4)</f>
        <v>-0.0005735481637345166</v>
      </c>
      <c r="Y34" s="4">
        <f t="shared" si="5"/>
        <v>1780</v>
      </c>
      <c r="Z34" s="4">
        <f t="shared" si="22"/>
        <v>30</v>
      </c>
      <c r="AA34" s="21">
        <f t="shared" si="6"/>
        <v>11.1</v>
      </c>
      <c r="AB34" s="6">
        <f>AA34+B16</f>
        <v>117.4353745</v>
      </c>
      <c r="AC34" s="24">
        <f t="shared" si="26"/>
        <v>114.86549276882339</v>
      </c>
      <c r="AD34" s="4">
        <f t="shared" si="29"/>
        <v>5.6193991145643</v>
      </c>
      <c r="AE34" s="4">
        <f t="shared" si="8"/>
        <v>2.569881731176608</v>
      </c>
      <c r="AF34" s="6">
        <f t="shared" si="30"/>
        <v>645.4750483591181</v>
      </c>
      <c r="AG34" s="30">
        <f>0.036*(SQRT(AF34)-SQRT(B12))</f>
        <v>-0.06613728586117723</v>
      </c>
      <c r="AH34" s="27">
        <v>0</v>
      </c>
      <c r="AI34" s="47">
        <f>AH34+B17</f>
        <v>1.975</v>
      </c>
      <c r="AJ34" s="4">
        <f t="shared" si="9"/>
        <v>2.150489670810904</v>
      </c>
      <c r="AK34" s="4">
        <f>120*(AI34/AI254)^-0.055</f>
        <v>123.69960739219069</v>
      </c>
      <c r="AL34" s="4">
        <f t="shared" si="0"/>
        <v>-0.17548967081090394</v>
      </c>
      <c r="AM34" s="5">
        <f t="shared" si="23"/>
        <v>266.0147279802702</v>
      </c>
      <c r="AN34" s="26">
        <f>0.12*(SQRT(AM34)-SQRT(B13))</f>
        <v>-0.02189574758586602</v>
      </c>
      <c r="AO34" s="4">
        <f t="shared" si="10"/>
        <v>1.5643394029392295</v>
      </c>
      <c r="AP34" s="21">
        <v>0</v>
      </c>
      <c r="AQ34" s="21">
        <f t="shared" si="11"/>
        <v>13.8</v>
      </c>
      <c r="AR34" s="21">
        <f t="shared" si="12"/>
        <v>2.1</v>
      </c>
      <c r="AS34" s="35">
        <f t="shared" si="13"/>
        <v>0.17795496984868195</v>
      </c>
      <c r="AT34" s="36">
        <f>-0.32*LN(AF34/AF254)+0.0042*(AI34-AI254)-0.000105*(AQ34-AQ254)-0.000315*(AR34-AR254)</f>
        <v>0.44746362813188956</v>
      </c>
      <c r="AU34" s="4">
        <f>AU254+5*LN(AF34/AF254)+0.125*(AP34-AP254)+0.0011*(AQ34-AQ254)+0.0033*(AR34-AR254)</f>
        <v>23.846172685439228</v>
      </c>
      <c r="AV34" s="4">
        <f>0.042*(AU34-B14)</f>
        <v>-0.04846074721155242</v>
      </c>
      <c r="AW34" s="4">
        <f>0.05*0.036*(SQRT(AF34)-SQRT(B12))</f>
        <v>-0.0033068642930588615</v>
      </c>
      <c r="AX34" s="21">
        <v>0</v>
      </c>
      <c r="AY34" s="36">
        <f>-0.4*(AX34/AX254)</f>
        <v>0</v>
      </c>
      <c r="AZ34" s="36">
        <f>-0.8*LN((B15+AX34)/B15)*(LN((B15+AX254)/B15))^-1</f>
        <v>0</v>
      </c>
      <c r="BA34" s="36">
        <f>-0.1*(AQ34/AQ254)</f>
        <v>-0.0015862068965517243</v>
      </c>
      <c r="BB34" s="6">
        <f t="shared" si="14"/>
        <v>-0.14196040001194077</v>
      </c>
      <c r="BC34" s="6">
        <f t="shared" si="24"/>
        <v>0.002099417640139656</v>
      </c>
      <c r="BD34" s="4">
        <f t="shared" si="15"/>
        <v>0.8598647262963628</v>
      </c>
      <c r="BE34" s="4">
        <f>SUMPRODUCT(BC$4:BC34,$BD$324:BD$354)</f>
        <v>-0.07913172708130119</v>
      </c>
      <c r="BF34" s="23">
        <f>BE34*B7</f>
        <v>-0.07913172708130119</v>
      </c>
      <c r="BG34" s="48"/>
    </row>
    <row r="35" spans="5:59" ht="15">
      <c r="E35" s="1">
        <f t="shared" si="16"/>
        <v>31</v>
      </c>
      <c r="F35" s="1">
        <f t="shared" si="1"/>
        <v>1781</v>
      </c>
      <c r="G35" s="3">
        <v>0</v>
      </c>
      <c r="H35" s="3">
        <f t="shared" si="17"/>
        <v>0.02479999999999999</v>
      </c>
      <c r="I35" s="5">
        <f t="shared" si="18"/>
        <v>1.356194655301949E-05</v>
      </c>
      <c r="J35" s="5">
        <f t="shared" si="19"/>
        <v>0.018617332050138817</v>
      </c>
      <c r="K35" s="4">
        <f t="shared" si="2"/>
        <v>0.006169106003308153</v>
      </c>
      <c r="L35" s="4">
        <f t="shared" si="3"/>
        <v>0.00012072986409758322</v>
      </c>
      <c r="M35" s="4">
        <f>60*B8*LN(U35/U4)</f>
        <v>-0.001516323148749961</v>
      </c>
      <c r="N35" s="4">
        <f t="shared" si="20"/>
        <v>-1.8306548767660224E-07</v>
      </c>
      <c r="O35" s="4">
        <f>SUMPRODUCT($M$4:M35,L$323:$L$354)</f>
        <v>-0.0015451151612820213</v>
      </c>
      <c r="P35" s="4">
        <f t="shared" si="21"/>
        <v>2.8792012532060382E-05</v>
      </c>
      <c r="Q35" s="4">
        <f>(B5/(B4*B6))*W34</f>
        <v>0.5705115474507808</v>
      </c>
      <c r="R35" s="4">
        <f>(1.558-1.399*B3*0.01)*Q35+(7.4706-0.20207*B3)*0.001*Q35^2-(1.2748-0.12015*B3)*0.00001*Q35^3+(2.4491-0.12639*B3)*0.0000001*Q35^4-(1.5468-0.15326*B3)*0.0000000001*Q35^5</f>
        <v>0.7448307112531317</v>
      </c>
      <c r="S35" s="4">
        <f t="shared" si="27"/>
        <v>0.03230508177932495</v>
      </c>
      <c r="T35" s="5">
        <f>(T4+R35)*EXP(0.0423*BF34)</f>
        <v>279.8066723961772</v>
      </c>
      <c r="U35" s="4">
        <f t="shared" si="25"/>
        <v>279.97534542455145</v>
      </c>
      <c r="V35" s="4">
        <f t="shared" si="4"/>
        <v>0.0006014344343925819</v>
      </c>
      <c r="W35" s="4">
        <f>SUMPRODUCT($J$4:J35,$S$323:S$354)</f>
        <v>0.09189866103358116</v>
      </c>
      <c r="X35" s="6">
        <f>5.35*LN(U35/U4)</f>
        <v>-0.0004710992361098891</v>
      </c>
      <c r="Y35" s="4">
        <f t="shared" si="5"/>
        <v>1781</v>
      </c>
      <c r="Z35" s="4">
        <f t="shared" si="22"/>
        <v>31</v>
      </c>
      <c r="AA35" s="21">
        <f t="shared" si="6"/>
        <v>11.47</v>
      </c>
      <c r="AB35" s="6">
        <f>AA35+B16</f>
        <v>117.8053745</v>
      </c>
      <c r="AC35" s="24">
        <f t="shared" si="26"/>
        <v>115.18091443401002</v>
      </c>
      <c r="AD35" s="4">
        <f t="shared" si="29"/>
        <v>5.62632214959168</v>
      </c>
      <c r="AE35" s="4">
        <f t="shared" si="8"/>
        <v>2.624460065989979</v>
      </c>
      <c r="AF35" s="6">
        <f t="shared" si="30"/>
        <v>648.0449300902947</v>
      </c>
      <c r="AG35" s="30">
        <f>0.036*(SQRT(AF35)-SQRT(B12))</f>
        <v>-0.06431836298969727</v>
      </c>
      <c r="AH35" s="27">
        <v>0</v>
      </c>
      <c r="AI35" s="47">
        <f>AH35+B17</f>
        <v>1.975</v>
      </c>
      <c r="AJ35" s="4">
        <f t="shared" si="9"/>
        <v>2.149070994757596</v>
      </c>
      <c r="AK35" s="4">
        <f>120*(AI35/AI254)^-0.055</f>
        <v>123.69960739219069</v>
      </c>
      <c r="AL35" s="4">
        <f t="shared" si="0"/>
        <v>-0.1740709947575958</v>
      </c>
      <c r="AM35" s="5">
        <f t="shared" si="23"/>
        <v>265.8392383094593</v>
      </c>
      <c r="AN35" s="26">
        <f>0.12*(SQRT(AM35)-SQRT(B13))</f>
        <v>-0.022541433946095993</v>
      </c>
      <c r="AO35" s="4">
        <f t="shared" si="10"/>
        <v>1.5622416827205552</v>
      </c>
      <c r="AP35" s="21">
        <v>0</v>
      </c>
      <c r="AQ35" s="21">
        <f t="shared" si="11"/>
        <v>14.26</v>
      </c>
      <c r="AR35" s="21">
        <f t="shared" si="12"/>
        <v>2.1700000000000004</v>
      </c>
      <c r="AS35" s="35">
        <f t="shared" si="13"/>
        <v>0.1777360011410959</v>
      </c>
      <c r="AT35" s="36">
        <f>-0.32*LN(AF35/AF254)+0.0042*(AI35-AI254)-0.000105*(AQ35-AQ254)-0.000315*(AR35-AR254)</f>
        <v>0.44612176590221153</v>
      </c>
      <c r="AU35" s="4">
        <f>AU254+5*LN(AF35/AF254)+0.125*(AP35-AP254)+0.0011*(AQ35-AQ254)+0.0033*(AR35-AR254)</f>
        <v>23.866777064027946</v>
      </c>
      <c r="AV35" s="4">
        <f>0.042*(AU35-B14)</f>
        <v>-0.047595363310826255</v>
      </c>
      <c r="AW35" s="4">
        <f>0.05*0.036*(SQRT(AF35)-SQRT(B12))</f>
        <v>-0.0032159181494848636</v>
      </c>
      <c r="AX35" s="21">
        <v>0</v>
      </c>
      <c r="AY35" s="36">
        <f>-0.4*(AX35/AX254)</f>
        <v>0</v>
      </c>
      <c r="AZ35" s="36">
        <f>-0.8*LN((B15+AX35)/B15)*(LN((B15+AX254)/B15))^-1</f>
        <v>0</v>
      </c>
      <c r="BA35" s="36">
        <f>-0.1*(AQ35/AQ254)</f>
        <v>-0.0016390804597701152</v>
      </c>
      <c r="BB35" s="6">
        <f t="shared" si="14"/>
        <v>-0.13978125809198438</v>
      </c>
      <c r="BC35" s="6">
        <f t="shared" si="24"/>
        <v>0.0021791419199563844</v>
      </c>
      <c r="BD35" s="4">
        <f t="shared" si="15"/>
        <v>0.8595458748329525</v>
      </c>
      <c r="BE35" s="4">
        <f>SUMPRODUCT(BC$4:BC35,$BD$323:BD$354)</f>
        <v>-0.079847808357719</v>
      </c>
      <c r="BF35" s="23">
        <f>BE35*B7</f>
        <v>-0.079847808357719</v>
      </c>
      <c r="BG35" s="48"/>
    </row>
    <row r="36" spans="5:59" ht="15">
      <c r="E36" s="1">
        <f t="shared" si="16"/>
        <v>32</v>
      </c>
      <c r="F36" s="1">
        <f t="shared" si="1"/>
        <v>1782</v>
      </c>
      <c r="G36" s="3">
        <v>0</v>
      </c>
      <c r="H36" s="3">
        <f t="shared" si="17"/>
        <v>0.025599999999999987</v>
      </c>
      <c r="I36" s="5">
        <f t="shared" si="18"/>
        <v>0.00016677875233042945</v>
      </c>
      <c r="J36" s="5">
        <f t="shared" si="19"/>
        <v>0.01845569119318417</v>
      </c>
      <c r="K36" s="4">
        <f t="shared" si="2"/>
        <v>0.006977530054485388</v>
      </c>
      <c r="L36" s="4">
        <f t="shared" si="3"/>
        <v>0.00012194328481907613</v>
      </c>
      <c r="M36" s="4">
        <f>60*B8*LN(U36/U4)</f>
        <v>-0.001136893899897367</v>
      </c>
      <c r="N36" s="4">
        <f t="shared" si="20"/>
        <v>-1.3863657664425484E-07</v>
      </c>
      <c r="O36" s="4">
        <f>SUMPRODUCT($M$4:M36,L$322:$L$354)</f>
        <v>-0.0014909651910948688</v>
      </c>
      <c r="P36" s="4">
        <f t="shared" si="21"/>
        <v>0.00035407129119750173</v>
      </c>
      <c r="Q36" s="4">
        <f>(B5/(B4*B6))*W35</f>
        <v>0.5828710655610562</v>
      </c>
      <c r="R36" s="4">
        <f>(1.558-1.399*B3*0.01)*Q36+(7.4706-0.20207*B3)*0.001*Q36^2-(1.2748-0.12015*B3)*0.00001*Q36^3+(2.4491-0.12639*B3)*0.0000001*Q36^4-(1.5468-0.15326*B3)*0.0000000001*Q36^5</f>
        <v>0.7609940664068693</v>
      </c>
      <c r="S36" s="4">
        <f t="shared" si="27"/>
        <v>0.03234927411258837</v>
      </c>
      <c r="T36" s="5">
        <f>(T4+R36)*EXP(0.0423*BF35)</f>
        <v>279.8143059683445</v>
      </c>
      <c r="U36" s="4">
        <f t="shared" si="25"/>
        <v>279.98151453055476</v>
      </c>
      <c r="V36" s="4">
        <f t="shared" si="4"/>
        <v>0.0005970282133455979</v>
      </c>
      <c r="W36" s="4">
        <f>SUMPRODUCT($J$4:J36,$S$322:S$354)</f>
        <v>0.09374299498236378</v>
      </c>
      <c r="X36" s="6">
        <f>5.35*LN(U36/U4)</f>
        <v>-0.00035321616518297987</v>
      </c>
      <c r="Y36" s="4">
        <f t="shared" si="5"/>
        <v>1782</v>
      </c>
      <c r="Z36" s="4">
        <f t="shared" si="22"/>
        <v>32</v>
      </c>
      <c r="AA36" s="21">
        <f t="shared" si="6"/>
        <v>11.84</v>
      </c>
      <c r="AB36" s="6">
        <f>AA36+B16</f>
        <v>118.1753745</v>
      </c>
      <c r="AC36" s="24">
        <f t="shared" si="26"/>
        <v>115.50277917969026</v>
      </c>
      <c r="AD36" s="4">
        <f t="shared" si="29"/>
        <v>5.633365662518161</v>
      </c>
      <c r="AE36" s="4">
        <f t="shared" si="8"/>
        <v>2.672595320309739</v>
      </c>
      <c r="AF36" s="6">
        <f t="shared" si="30"/>
        <v>650.6693901562846</v>
      </c>
      <c r="AG36" s="30">
        <f>0.036*(SQRT(AF36)-SQRT(B12))</f>
        <v>-0.06246452883665773</v>
      </c>
      <c r="AH36" s="27">
        <v>0</v>
      </c>
      <c r="AI36" s="47">
        <f>AH36+B17</f>
        <v>1.975</v>
      </c>
      <c r="AJ36" s="4">
        <f t="shared" si="9"/>
        <v>2.147663787423415</v>
      </c>
      <c r="AK36" s="4">
        <f>120*(AI36/AI254)^-0.055</f>
        <v>123.69960739219069</v>
      </c>
      <c r="AL36" s="4">
        <f t="shared" si="0"/>
        <v>-0.17266378742341493</v>
      </c>
      <c r="AM36" s="5">
        <f t="shared" si="23"/>
        <v>265.6651673147017</v>
      </c>
      <c r="AN36" s="26">
        <f>0.12*(SQRT(AM36)-SQRT(B13))</f>
        <v>-0.02318211108999165</v>
      </c>
      <c r="AO36" s="4">
        <f t="shared" si="10"/>
        <v>1.560112748280859</v>
      </c>
      <c r="AP36" s="21">
        <v>0</v>
      </c>
      <c r="AQ36" s="21">
        <f t="shared" si="11"/>
        <v>14.72</v>
      </c>
      <c r="AR36" s="21">
        <f t="shared" si="12"/>
        <v>2.24</v>
      </c>
      <c r="AS36" s="35">
        <f t="shared" si="13"/>
        <v>0.17751377416409211</v>
      </c>
      <c r="AT36" s="36">
        <f>-0.32*LN(AF36/AF254)+0.0042*(AI36-AI254)-0.000105*(AQ36-AQ254)-0.000315*(AR36-AR254)</f>
        <v>0.44475809318877924</v>
      </c>
      <c r="AU36" s="4">
        <f>AU254+5*LN(AF36/AF254)+0.125*(AP36-AP254)+0.0011*(AQ36-AQ254)+0.0033*(AR36-AR254)</f>
        <v>23.88772223142532</v>
      </c>
      <c r="AV36" s="4">
        <f>0.042*(AU36-B14)</f>
        <v>-0.04671566628013649</v>
      </c>
      <c r="AW36" s="4">
        <f>0.05*0.036*(SQRT(AF36)-SQRT(B12))</f>
        <v>-0.0031232264418328865</v>
      </c>
      <c r="AX36" s="21">
        <v>0</v>
      </c>
      <c r="AY36" s="36">
        <f>-0.4*(AX36/AX254)</f>
        <v>0</v>
      </c>
      <c r="AZ36" s="36">
        <f>-0.8*LN((B15+AX36)/B15)*(LN((B15+AX254)/B15))^-1</f>
        <v>0</v>
      </c>
      <c r="BA36" s="36">
        <f>-0.1*(AQ36/AQ254)</f>
        <v>-0.001691954022988506</v>
      </c>
      <c r="BB36" s="6">
        <f t="shared" si="14"/>
        <v>-0.13753070283679023</v>
      </c>
      <c r="BC36" s="6">
        <f t="shared" si="24"/>
        <v>0.0022505552551941588</v>
      </c>
      <c r="BD36" s="4">
        <f t="shared" si="15"/>
        <v>0.8592262978822272</v>
      </c>
      <c r="BE36" s="4">
        <f>SUMPRODUCT(BC$4:BC36,$BD$322:BD$354)</f>
        <v>-0.08041550356786792</v>
      </c>
      <c r="BF36" s="23">
        <f>BE36*B7</f>
        <v>-0.08041550356786792</v>
      </c>
      <c r="BG36" s="48"/>
    </row>
    <row r="37" spans="5:59" ht="15">
      <c r="E37" s="1">
        <f t="shared" si="16"/>
        <v>33</v>
      </c>
      <c r="F37" s="1">
        <f t="shared" si="1"/>
        <v>1783</v>
      </c>
      <c r="G37" s="3">
        <v>0</v>
      </c>
      <c r="H37" s="3">
        <f t="shared" si="17"/>
        <v>0.026399999999999986</v>
      </c>
      <c r="I37" s="5">
        <f t="shared" si="18"/>
        <v>0.00033113926517387905</v>
      </c>
      <c r="J37" s="5">
        <f t="shared" si="19"/>
        <v>0.01828457820431068</v>
      </c>
      <c r="K37" s="4">
        <f t="shared" si="2"/>
        <v>0.007784282530515427</v>
      </c>
      <c r="L37" s="4">
        <f t="shared" si="3"/>
        <v>0.00012316890397547577</v>
      </c>
      <c r="M37" s="4">
        <f>60*B8*LN(U37/U4)</f>
        <v>-0.0007077528168744866</v>
      </c>
      <c r="N37" s="4">
        <f t="shared" si="20"/>
        <v>-8.717313873998613E-08</v>
      </c>
      <c r="O37" s="4">
        <f>SUMPRODUCT($M$4:M37,L$321:$L$354)</f>
        <v>-0.001410761476838632</v>
      </c>
      <c r="P37" s="4">
        <f t="shared" si="21"/>
        <v>0.0007030086599641453</v>
      </c>
      <c r="Q37" s="4">
        <f>(B5/(B4*B6))*W36</f>
        <v>0.5945688300538875</v>
      </c>
      <c r="R37" s="4">
        <f>(1.558-1.399*B3*0.01)*Q37+(7.4706-0.20207*B3)*0.001*Q37^2-(1.2748-0.12015*B3)*0.00001*Q37^3+(2.4491-0.12639*B3)*0.0000001*Q37^4-(1.5468-0.15326*B3)*0.0000000001*Q37^5</f>
        <v>0.7762930746943097</v>
      </c>
      <c r="S37" s="4">
        <f t="shared" si="27"/>
        <v>0.03239371240157585</v>
      </c>
      <c r="T37" s="5">
        <f>(T4+R37)*EXP(0.0423*BF36)</f>
        <v>279.8228337820782</v>
      </c>
      <c r="U37" s="4">
        <f t="shared" si="25"/>
        <v>279.98849206060925</v>
      </c>
      <c r="V37" s="4">
        <f t="shared" si="4"/>
        <v>0.0005923053677345623</v>
      </c>
      <c r="W37" s="4">
        <f>SUMPRODUCT($J$4:J37,$S$321:S$354)</f>
        <v>0.0954892621855929</v>
      </c>
      <c r="X37" s="6">
        <f>5.35*LN(U37/U4)</f>
        <v>-0.00021988836064335096</v>
      </c>
      <c r="Y37" s="4">
        <f t="shared" si="5"/>
        <v>1783</v>
      </c>
      <c r="Z37" s="4">
        <f t="shared" si="22"/>
        <v>33</v>
      </c>
      <c r="AA37" s="21">
        <f t="shared" si="6"/>
        <v>12.209999999999999</v>
      </c>
      <c r="AB37" s="6">
        <f>AA37+B16</f>
        <v>118.5453745</v>
      </c>
      <c r="AC37" s="24">
        <f t="shared" si="26"/>
        <v>115.83025736932396</v>
      </c>
      <c r="AD37" s="4">
        <f t="shared" si="29"/>
        <v>5.640512248828197</v>
      </c>
      <c r="AE37" s="4">
        <f t="shared" si="8"/>
        <v>2.7151171306760347</v>
      </c>
      <c r="AF37" s="6">
        <f t="shared" si="30"/>
        <v>653.3419854765943</v>
      </c>
      <c r="AG37" s="30">
        <f>0.036*(SQRT(AF37)-SQRT(B12))</f>
        <v>-0.06058053167317352</v>
      </c>
      <c r="AH37" s="27">
        <v>0</v>
      </c>
      <c r="AI37" s="47">
        <f>AH37+B17</f>
        <v>1.975</v>
      </c>
      <c r="AJ37" s="4">
        <f t="shared" si="9"/>
        <v>2.1462679560940883</v>
      </c>
      <c r="AK37" s="4">
        <f>120*(AI37/AI254)^-0.055</f>
        <v>123.69960739219069</v>
      </c>
      <c r="AL37" s="4">
        <f t="shared" si="0"/>
        <v>-0.17126795609408818</v>
      </c>
      <c r="AM37" s="5">
        <f t="shared" si="23"/>
        <v>265.4925035272783</v>
      </c>
      <c r="AN37" s="26">
        <f>0.12*(SQRT(AM37)-SQRT(B13))</f>
        <v>-0.023817816325340146</v>
      </c>
      <c r="AO37" s="4">
        <f t="shared" si="10"/>
        <v>1.5579580936691462</v>
      </c>
      <c r="AP37" s="21">
        <v>0</v>
      </c>
      <c r="AQ37" s="21">
        <f t="shared" si="11"/>
        <v>15.180000000000001</v>
      </c>
      <c r="AR37" s="21">
        <f t="shared" si="12"/>
        <v>2.31</v>
      </c>
      <c r="AS37" s="35">
        <f t="shared" si="13"/>
        <v>0.17728886240921604</v>
      </c>
      <c r="AT37" s="36">
        <f>-0.32*LN(AF37/AF254)+0.0042*(AI37-AI254)-0.000105*(AQ37-AQ254)-0.000315*(AR37-AR254)</f>
        <v>0.4433760495702176</v>
      </c>
      <c r="AU37" s="4">
        <f>AU254+5*LN(AF37/AF254)+0.125*(AP37-AP254)+0.0011*(AQ37-AQ254)+0.0033*(AR37-AR254)</f>
        <v>23.908954444215354</v>
      </c>
      <c r="AV37" s="4">
        <f>0.042*(AU37-B14)</f>
        <v>-0.04582391334295514</v>
      </c>
      <c r="AW37" s="4">
        <f>0.05*0.036*(SQRT(AF37)-SQRT(B12))</f>
        <v>-0.0030290265836586763</v>
      </c>
      <c r="AX37" s="21">
        <v>0</v>
      </c>
      <c r="AY37" s="36">
        <f>-0.4*(AX37/AX254)</f>
        <v>0</v>
      </c>
      <c r="AZ37" s="36">
        <f>-0.8*LN((B15+AX37)/B15)*(LN((B15+AX254)/B15))^-1</f>
        <v>0</v>
      </c>
      <c r="BA37" s="36">
        <f>-0.1*(AQ37/AQ254)</f>
        <v>-0.0017448275862068968</v>
      </c>
      <c r="BB37" s="6">
        <f t="shared" si="14"/>
        <v>-0.1352160038719777</v>
      </c>
      <c r="BC37" s="6">
        <f t="shared" si="24"/>
        <v>0.0023146989648125116</v>
      </c>
      <c r="BD37" s="4">
        <f t="shared" si="15"/>
        <v>0.8589059937934195</v>
      </c>
      <c r="BE37" s="4">
        <f>SUMPRODUCT(BC$4:BC37,$BD$321:BD$354)</f>
        <v>-0.08084121494787837</v>
      </c>
      <c r="BF37" s="23">
        <f>BE37*B7</f>
        <v>-0.08084121494787837</v>
      </c>
      <c r="BG37" s="48"/>
    </row>
    <row r="38" spans="5:59" ht="15">
      <c r="E38" s="1">
        <f t="shared" si="16"/>
        <v>34</v>
      </c>
      <c r="F38" s="1">
        <f t="shared" si="1"/>
        <v>1784</v>
      </c>
      <c r="G38" s="3">
        <v>0</v>
      </c>
      <c r="H38" s="3">
        <f t="shared" si="17"/>
        <v>0.027199999999999985</v>
      </c>
      <c r="I38" s="5">
        <f t="shared" si="18"/>
        <v>0.0005061296087675801</v>
      </c>
      <c r="J38" s="5">
        <f t="shared" si="19"/>
        <v>0.018106447282856472</v>
      </c>
      <c r="K38" s="4">
        <f t="shared" si="2"/>
        <v>0.008587423108375934</v>
      </c>
      <c r="L38" s="4">
        <f t="shared" si="3"/>
        <v>0.00012440684433504977</v>
      </c>
      <c r="M38" s="4">
        <f>60*B8*LN(U38/U4)</f>
        <v>-0.0002290064196603322</v>
      </c>
      <c r="N38" s="4">
        <f t="shared" si="20"/>
        <v>-2.848996600241003E-08</v>
      </c>
      <c r="O38" s="4">
        <f>SUMPRODUCT($M$4:M38,L$320:$L$354)</f>
        <v>-0.0013035195790739049</v>
      </c>
      <c r="P38" s="4">
        <f t="shared" si="21"/>
        <v>0.0010745131594135727</v>
      </c>
      <c r="Q38" s="4">
        <f>(B5/(B4*B6))*W37</f>
        <v>0.6056446021495063</v>
      </c>
      <c r="R38" s="4">
        <f>(1.558-1.399*B3*0.01)*Q38+(7.4706-0.20207*B3)*0.001*Q38^2-(1.2748-0.12015*B3)*0.00001*Q38^3+(2.4491-0.12639*B3)*0.0000001*Q38^4-(1.5468-0.15326*B3)*0.0000000001*Q38^5</f>
        <v>0.7907795664156135</v>
      </c>
      <c r="S38" s="4">
        <f t="shared" si="27"/>
        <v>0.0324383985182355</v>
      </c>
      <c r="T38" s="5">
        <f>(T4+R38)*EXP(0.0423*BF37)</f>
        <v>279.8322319307571</v>
      </c>
      <c r="U38" s="4">
        <f t="shared" si="25"/>
        <v>279.99627634313975</v>
      </c>
      <c r="V38" s="4">
        <f t="shared" si="4"/>
        <v>0.0005873441527107206</v>
      </c>
      <c r="W38" s="4">
        <f>SUMPRODUCT($J$4:J38,$S$320:S$354)</f>
        <v>0.0971436449214403</v>
      </c>
      <c r="X38" s="6">
        <f>5.35*LN(U38/U4)</f>
        <v>-7.114891667728091E-05</v>
      </c>
      <c r="Y38" s="4">
        <f t="shared" si="5"/>
        <v>1784</v>
      </c>
      <c r="Z38" s="4">
        <f t="shared" si="22"/>
        <v>34</v>
      </c>
      <c r="AA38" s="21">
        <f t="shared" si="6"/>
        <v>12.58</v>
      </c>
      <c r="AB38" s="6">
        <f>AA38+B16</f>
        <v>118.9153745</v>
      </c>
      <c r="AC38" s="24">
        <f t="shared" si="26"/>
        <v>116.16262689569893</v>
      </c>
      <c r="AD38" s="4">
        <f t="shared" si="29"/>
        <v>5.647746785171589</v>
      </c>
      <c r="AE38" s="4">
        <f t="shared" si="8"/>
        <v>2.7527476043010637</v>
      </c>
      <c r="AF38" s="6">
        <f t="shared" si="30"/>
        <v>656.0571026072704</v>
      </c>
      <c r="AG38" s="30">
        <f>0.036*(SQRT(AF38)-SQRT(B12))</f>
        <v>-0.058670501230778924</v>
      </c>
      <c r="AH38" s="27">
        <v>0</v>
      </c>
      <c r="AI38" s="47">
        <f>AH38+B17</f>
        <v>1.975</v>
      </c>
      <c r="AJ38" s="4">
        <f t="shared" si="9"/>
        <v>2.144883408804855</v>
      </c>
      <c r="AK38" s="4">
        <f>120*(AI38/AI254)^-0.055</f>
        <v>123.69960739219069</v>
      </c>
      <c r="AL38" s="4">
        <f t="shared" si="0"/>
        <v>-0.16988340880485486</v>
      </c>
      <c r="AM38" s="5">
        <f t="shared" si="23"/>
        <v>265.3212355711842</v>
      </c>
      <c r="AN38" s="26">
        <f>0.12*(SQRT(AM38)-SQRT(B13))</f>
        <v>-0.024448586705077983</v>
      </c>
      <c r="AO38" s="4">
        <f t="shared" si="10"/>
        <v>1.5557824766470936</v>
      </c>
      <c r="AP38" s="21">
        <v>0</v>
      </c>
      <c r="AQ38" s="21">
        <f t="shared" si="11"/>
        <v>15.64</v>
      </c>
      <c r="AR38" s="21">
        <f t="shared" si="12"/>
        <v>2.3800000000000003</v>
      </c>
      <c r="AS38" s="35">
        <f t="shared" si="13"/>
        <v>0.17706176251129824</v>
      </c>
      <c r="AT38" s="36">
        <f>-0.32*LN(AF38/AF254)+0.0042*(AI38-AI254)-0.000105*(AQ38-AQ254)-0.000315*(AR38-AR254)</f>
        <v>0.44197861948446127</v>
      </c>
      <c r="AU38" s="4">
        <f>AU254+5*LN(AF38/AF254)+0.125*(AP38-AP254)+0.0011*(AQ38-AQ254)+0.0033*(AR38-AR254)</f>
        <v>23.930427070555293</v>
      </c>
      <c r="AV38" s="4">
        <f>0.042*(AU38-B14)</f>
        <v>-0.044922063036677694</v>
      </c>
      <c r="AW38" s="4">
        <f>0.05*0.036*(SQRT(AF38)-SQRT(B12))</f>
        <v>-0.002933525061538946</v>
      </c>
      <c r="AX38" s="21">
        <v>0</v>
      </c>
      <c r="AY38" s="36">
        <f>-0.4*(AX38/AX254)</f>
        <v>0</v>
      </c>
      <c r="AZ38" s="36">
        <f>-0.8*LN((B15+AX38)/B15)*(LN((B15+AX254)/B15))^-1</f>
        <v>0</v>
      </c>
      <c r="BA38" s="36">
        <f>-0.1*(AQ38/AQ254)</f>
        <v>-0.0017977011494252878</v>
      </c>
      <c r="BB38" s="6">
        <f t="shared" si="14"/>
        <v>-0.1328435261001761</v>
      </c>
      <c r="BC38" s="6">
        <f t="shared" si="24"/>
        <v>0.0023724777718016066</v>
      </c>
      <c r="BD38" s="4">
        <f t="shared" si="15"/>
        <v>0.8585849609120024</v>
      </c>
      <c r="BE38" s="4">
        <f>SUMPRODUCT(BC$4:BC38,$BD$320:BD$354)</f>
        <v>-0.08113126346572244</v>
      </c>
      <c r="BF38" s="23">
        <f>BE38*B7</f>
        <v>-0.08113126346572244</v>
      </c>
      <c r="BG38" s="48"/>
    </row>
    <row r="39" spans="5:59" ht="15">
      <c r="E39" s="1">
        <f t="shared" si="16"/>
        <v>35</v>
      </c>
      <c r="F39" s="1">
        <f t="shared" si="1"/>
        <v>1785</v>
      </c>
      <c r="G39" s="3">
        <v>0</v>
      </c>
      <c r="H39" s="3">
        <f t="shared" si="17"/>
        <v>0.027999999999999983</v>
      </c>
      <c r="I39" s="5">
        <f t="shared" si="18"/>
        <v>0.0006912395861615629</v>
      </c>
      <c r="J39" s="5">
        <f t="shared" si="19"/>
        <v>0.01792351034389081</v>
      </c>
      <c r="K39" s="4">
        <f t="shared" si="2"/>
        <v>0.009385250069947611</v>
      </c>
      <c r="L39" s="4">
        <f t="shared" si="3"/>
        <v>0.00012565722990872408</v>
      </c>
      <c r="M39" s="4">
        <f>60*B8*LN(U39/U4)</f>
        <v>0.00029911902633140004</v>
      </c>
      <c r="N39" s="4">
        <f t="shared" si="20"/>
        <v>3.758646826179843E-08</v>
      </c>
      <c r="O39" s="4">
        <f>SUMPRODUCT($M$4:M39,L$319:$L$354)</f>
        <v>-0.0011683826150895983</v>
      </c>
      <c r="P39" s="4">
        <f t="shared" si="21"/>
        <v>0.0014675016414209983</v>
      </c>
      <c r="Q39" s="4">
        <f>(B5/(B4*B6))*W38</f>
        <v>0.6161375932033893</v>
      </c>
      <c r="R39" s="4">
        <f>(1.558-1.399*B3*0.01)*Q39+(7.4706-0.20207*B3)*0.001*Q39^2-(1.2748-0.12015*B3)*0.00001*Q39^3+(2.4491-0.12639*B3)*0.0000001*Q39^4-(1.5468-0.15326*B3)*0.0000000001*Q39^5</f>
        <v>0.8045046752358982</v>
      </c>
      <c r="S39" s="4">
        <f t="shared" si="27"/>
        <v>0.032483334354494506</v>
      </c>
      <c r="T39" s="5">
        <f>(T4+R39)*EXP(0.0423*BF38)</f>
        <v>279.8424767625325</v>
      </c>
      <c r="U39" s="4">
        <f t="shared" si="25"/>
        <v>280.00486376624815</v>
      </c>
      <c r="V39" s="4">
        <f t="shared" si="4"/>
        <v>0.0005822153793068459</v>
      </c>
      <c r="W39" s="4">
        <f>SUMPRODUCT($J$4:J39,$S$319:S$354)</f>
        <v>0.09871224301197308</v>
      </c>
      <c r="X39" s="6">
        <f>5.35*LN(U39/U4)</f>
        <v>9.293186938867539E-05</v>
      </c>
      <c r="Y39" s="4">
        <f t="shared" si="5"/>
        <v>1785</v>
      </c>
      <c r="Z39" s="4">
        <f t="shared" si="22"/>
        <v>35</v>
      </c>
      <c r="AA39" s="21">
        <f t="shared" si="6"/>
        <v>12.95</v>
      </c>
      <c r="AB39" s="6">
        <f>AA39+B16</f>
        <v>119.2853745</v>
      </c>
      <c r="AC39" s="24">
        <f t="shared" si="26"/>
        <v>116.49925921241372</v>
      </c>
      <c r="AD39" s="4">
        <f t="shared" si="29"/>
        <v>5.655056132248531</v>
      </c>
      <c r="AE39" s="4">
        <f t="shared" si="8"/>
        <v>2.7861152875862842</v>
      </c>
      <c r="AF39" s="6">
        <f t="shared" si="30"/>
        <v>658.8098502115714</v>
      </c>
      <c r="AG39" s="30">
        <f>0.036*(SQRT(AF39)-SQRT(B12))</f>
        <v>-0.05673802914588161</v>
      </c>
      <c r="AH39" s="27">
        <v>0</v>
      </c>
      <c r="AI39" s="47">
        <f>AH39+B17</f>
        <v>1.975</v>
      </c>
      <c r="AJ39" s="4">
        <f t="shared" si="9"/>
        <v>2.143510054334406</v>
      </c>
      <c r="AK39" s="4">
        <f>120*(AI39/AI254)^-0.055</f>
        <v>123.69960739219069</v>
      </c>
      <c r="AL39" s="4">
        <f t="shared" si="0"/>
        <v>-0.1685100543344058</v>
      </c>
      <c r="AM39" s="5">
        <f t="shared" si="23"/>
        <v>265.15135216237934</v>
      </c>
      <c r="AN39" s="26">
        <f>0.12*(SQRT(AM39)-SQRT(B13))</f>
        <v>-0.02507445902869705</v>
      </c>
      <c r="AO39" s="4">
        <f t="shared" si="10"/>
        <v>1.55359001524538</v>
      </c>
      <c r="AP39" s="21">
        <v>0</v>
      </c>
      <c r="AQ39" s="21">
        <f t="shared" si="11"/>
        <v>16.1</v>
      </c>
      <c r="AR39" s="21">
        <f t="shared" si="12"/>
        <v>2.45</v>
      </c>
      <c r="AS39" s="35">
        <f t="shared" si="13"/>
        <v>0.1768329043274033</v>
      </c>
      <c r="AT39" s="36">
        <f>-0.32*LN(AF39/AF254)+0.0042*(AI39-AI254)-0.000105*(AQ39-AQ254)-0.000315*(AR39-AR254)</f>
        <v>0.44056839168397505</v>
      </c>
      <c r="AU39" s="4">
        <f>AU254+5*LN(AF39/AF254)+0.125*(AP39-AP254)+0.0011*(AQ39-AQ254)+0.0033*(AR39-AR254)</f>
        <v>23.95209966118789</v>
      </c>
      <c r="AV39" s="4">
        <f>0.042*(AU39-B14)</f>
        <v>-0.044011814230108595</v>
      </c>
      <c r="AW39" s="4">
        <f>0.05*0.036*(SQRT(AF39)-SQRT(B12))</f>
        <v>-0.0028369014572940804</v>
      </c>
      <c r="AX39" s="21">
        <v>0</v>
      </c>
      <c r="AY39" s="36">
        <f>-0.4*(AX39/AX254)</f>
        <v>0</v>
      </c>
      <c r="AZ39" s="36">
        <f>-0.8*LN((B15+AX39)/B15)*(LN((B15+AX254)/B15))^-1</f>
        <v>0</v>
      </c>
      <c r="BA39" s="36">
        <f>-0.1*(AQ39/AQ254)</f>
        <v>-0.0018505747126436785</v>
      </c>
      <c r="BB39" s="6">
        <f t="shared" si="14"/>
        <v>-0.13041884670523635</v>
      </c>
      <c r="BC39" s="6">
        <f t="shared" si="24"/>
        <v>0.0024246793949397605</v>
      </c>
      <c r="BD39" s="4">
        <f t="shared" si="15"/>
        <v>0.8582631975796798</v>
      </c>
      <c r="BE39" s="4">
        <f>SUMPRODUCT(BC$4:BC39,$BD$319:BD$354)</f>
        <v>-0.08129185090008681</v>
      </c>
      <c r="BF39" s="23">
        <f>BE39*B7</f>
        <v>-0.08129185090008681</v>
      </c>
      <c r="BG39" s="48"/>
    </row>
    <row r="40" spans="5:59" ht="15">
      <c r="E40" s="1">
        <f t="shared" si="16"/>
        <v>36</v>
      </c>
      <c r="F40" s="1">
        <f t="shared" si="1"/>
        <v>1786</v>
      </c>
      <c r="G40" s="3">
        <v>0</v>
      </c>
      <c r="H40" s="3">
        <f t="shared" si="17"/>
        <v>0.028799999999999982</v>
      </c>
      <c r="I40" s="5">
        <f t="shared" si="18"/>
        <v>0.000885965162322406</v>
      </c>
      <c r="J40" s="5">
        <f t="shared" si="19"/>
        <v>0.017737710058560032</v>
      </c>
      <c r="K40" s="4">
        <f t="shared" si="2"/>
        <v>0.010176324779117545</v>
      </c>
      <c r="L40" s="4">
        <f t="shared" si="3"/>
        <v>0.0001269201859630235</v>
      </c>
      <c r="M40" s="4">
        <f>60*B8*LN(U40/U4)</f>
        <v>0.0008762922067846024</v>
      </c>
      <c r="N40" s="4">
        <f t="shared" si="20"/>
        <v>1.1121916984304999E-07</v>
      </c>
      <c r="O40" s="4">
        <f>SUMPRODUCT($M$4:M40,L$318:$L$354)</f>
        <v>-0.0010046118328258657</v>
      </c>
      <c r="P40" s="4">
        <f t="shared" si="21"/>
        <v>0.0018809040396104682</v>
      </c>
      <c r="Q40" s="4">
        <f>(B5/(B4*B6))*W39</f>
        <v>0.6260864915897519</v>
      </c>
      <c r="R40" s="4">
        <f>(1.558-1.399*B3*0.01)*Q40+(7.4706-0.20207*B3)*0.001*Q40^2-(1.2748-0.12015*B3)*0.00001*Q40^3+(2.4491-0.12639*B3)*0.0000001*Q40^4-(1.5468-0.15326*B3)*0.0000000001*Q40^5</f>
        <v>0.8175188713262522</v>
      </c>
      <c r="S40" s="4">
        <f t="shared" si="27"/>
        <v>0.032528521822520765</v>
      </c>
      <c r="T40" s="5">
        <f>(T4+R40)*EXP(0.0423*BF39)</f>
        <v>279.85354536318755</v>
      </c>
      <c r="U40" s="4">
        <f t="shared" si="25"/>
        <v>280.0142490163181</v>
      </c>
      <c r="V40" s="4">
        <f t="shared" si="4"/>
        <v>0.000576981488721416</v>
      </c>
      <c r="W40" s="4">
        <f>SUMPRODUCT($J$4:J40,$S$318:S$354)</f>
        <v>0.10020100260328413</v>
      </c>
      <c r="X40" s="6">
        <f>5.35*LN(U40/U4)</f>
        <v>0.00027225106308348564</v>
      </c>
      <c r="Y40" s="4">
        <f t="shared" si="5"/>
        <v>1786</v>
      </c>
      <c r="Z40" s="4">
        <f t="shared" si="22"/>
        <v>36</v>
      </c>
      <c r="AA40" s="21">
        <f t="shared" si="6"/>
        <v>13.32</v>
      </c>
      <c r="AB40" s="6">
        <f>AA40+B16</f>
        <v>119.6553745</v>
      </c>
      <c r="AC40" s="24">
        <f t="shared" si="26"/>
        <v>116.83960717269512</v>
      </c>
      <c r="AD40" s="4">
        <f t="shared" si="29"/>
        <v>5.662428875862993</v>
      </c>
      <c r="AE40" s="4">
        <f t="shared" si="8"/>
        <v>2.8157673273048687</v>
      </c>
      <c r="AF40" s="6">
        <f t="shared" si="30"/>
        <v>661.5959654991577</v>
      </c>
      <c r="AG40" s="30">
        <f>0.036*(SQRT(AF40)-SQRT(B12))</f>
        <v>-0.05478623903310064</v>
      </c>
      <c r="AH40" s="27">
        <v>0</v>
      </c>
      <c r="AI40" s="47">
        <f>AH40+B17</f>
        <v>1.975</v>
      </c>
      <c r="AJ40" s="4">
        <f t="shared" si="9"/>
        <v>2.1421478021988745</v>
      </c>
      <c r="AK40" s="4">
        <f>120*(AI40/AI254)^-0.055</f>
        <v>123.69960739219069</v>
      </c>
      <c r="AL40" s="4">
        <f t="shared" si="0"/>
        <v>-0.16714780219887437</v>
      </c>
      <c r="AM40" s="5">
        <f t="shared" si="23"/>
        <v>264.9828421080449</v>
      </c>
      <c r="AN40" s="26">
        <f>0.12*(SQRT(AM40)-SQRT(B13))</f>
        <v>-0.02569546984365189</v>
      </c>
      <c r="AO40" s="4">
        <f t="shared" si="10"/>
        <v>1.551384271986423</v>
      </c>
      <c r="AP40" s="21">
        <v>0</v>
      </c>
      <c r="AQ40" s="21">
        <f t="shared" si="11"/>
        <v>16.560000000000002</v>
      </c>
      <c r="AR40" s="21">
        <f t="shared" si="12"/>
        <v>2.5200000000000005</v>
      </c>
      <c r="AS40" s="35">
        <f t="shared" si="13"/>
        <v>0.17660265972834724</v>
      </c>
      <c r="AT40" s="36">
        <f>-0.32*LN(AF40/AF254)+0.0042*(AI40-AI254)-0.000105*(AQ40-AQ254)-0.000315*(AR40-AR254)</f>
        <v>0.4391476110745681</v>
      </c>
      <c r="AU40" s="4">
        <f>AU254+5*LN(AF40/AF254)+0.125*(AP40-AP254)+0.0011*(AQ40-AQ254)+0.0033*(AR40-AR254)</f>
        <v>23.973937139459874</v>
      </c>
      <c r="AV40" s="4">
        <f>0.042*(AU40-B14)</f>
        <v>-0.04309464014268529</v>
      </c>
      <c r="AW40" s="4">
        <f>0.05*0.036*(SQRT(AF40)-SQRT(B12))</f>
        <v>-0.002739311951655032</v>
      </c>
      <c r="AX40" s="21">
        <v>0</v>
      </c>
      <c r="AY40" s="36">
        <f>-0.4*(AX40/AX254)</f>
        <v>0</v>
      </c>
      <c r="AZ40" s="36">
        <f>-0.8*LN((B15+AX40)/B15)*(LN((B15+AX254)/B15))^-1</f>
        <v>0</v>
      </c>
      <c r="BA40" s="36">
        <f>-0.1*(AQ40/AQ254)</f>
        <v>-0.0019034482758620694</v>
      </c>
      <c r="BB40" s="6">
        <f t="shared" si="14"/>
        <v>-0.12794685818387144</v>
      </c>
      <c r="BC40" s="6">
        <f t="shared" si="24"/>
        <v>0.002471988521364904</v>
      </c>
      <c r="BD40" s="4">
        <f t="shared" si="15"/>
        <v>0.8579407021343779</v>
      </c>
      <c r="BE40" s="4">
        <f>SUMPRODUCT(BC$4:BC40,$BD$318:BD$354)</f>
        <v>-0.08132903007420646</v>
      </c>
      <c r="BF40" s="23">
        <f>BE40*B7</f>
        <v>-0.08132903007420646</v>
      </c>
      <c r="BG40" s="48"/>
    </row>
    <row r="41" spans="5:59" ht="15">
      <c r="E41" s="1">
        <f t="shared" si="16"/>
        <v>37</v>
      </c>
      <c r="F41" s="1">
        <f t="shared" si="1"/>
        <v>1787</v>
      </c>
      <c r="G41" s="3">
        <v>0</v>
      </c>
      <c r="H41" s="3">
        <f t="shared" si="17"/>
        <v>0.02959999999999998</v>
      </c>
      <c r="I41" s="5">
        <f t="shared" si="18"/>
        <v>0.0010898117712910375</v>
      </c>
      <c r="J41" s="5">
        <f t="shared" si="19"/>
        <v>0.017550775100877693</v>
      </c>
      <c r="K41" s="4">
        <f t="shared" si="2"/>
        <v>0.01095941312783125</v>
      </c>
      <c r="L41" s="4">
        <f t="shared" si="3"/>
        <v>0.00012819583903316635</v>
      </c>
      <c r="M41" s="4">
        <f>60*B8*LN(U41/U4)</f>
        <v>0.0015020929621232504</v>
      </c>
      <c r="N41" s="4">
        <f t="shared" si="20"/>
        <v>1.9256206758520424E-07</v>
      </c>
      <c r="O41" s="4">
        <f>SUMPRODUCT($M$4:M41,L$317:$L$354)</f>
        <v>-0.0008115774283276225</v>
      </c>
      <c r="P41" s="4">
        <f t="shared" si="21"/>
        <v>0.002313670390450873</v>
      </c>
      <c r="Q41" s="4">
        <f>(B5/(B4*B6))*W40</f>
        <v>0.6355290109865755</v>
      </c>
      <c r="R41" s="4">
        <f>(1.558-1.399*B3*0.01)*Q41+(7.4706-0.20207*B3)*0.001*Q41^2-(1.2748-0.12015*B3)*0.00001*Q41^3+(2.4491-0.12639*B3)*0.0000001*Q41^4-(1.5468-0.15326*B3)*0.0000000001*Q41^5</f>
        <v>0.8298713685582197</v>
      </c>
      <c r="S41" s="4">
        <f t="shared" si="27"/>
        <v>0.032573962854988474</v>
      </c>
      <c r="T41" s="5">
        <f>(T4+R41)*EXP(0.0423*BF40)</f>
        <v>279.8654153186833</v>
      </c>
      <c r="U41" s="4">
        <f t="shared" si="25"/>
        <v>280.02442534109724</v>
      </c>
      <c r="V41" s="4">
        <f t="shared" si="4"/>
        <v>0.0005716982962122465</v>
      </c>
      <c r="W41" s="4">
        <f>SUMPRODUCT($J$4:J41,$S$317:S$354)</f>
        <v>0.10161571180783696</v>
      </c>
      <c r="X41" s="6">
        <f>5.35*LN(U41/U4)</f>
        <v>0.0004666781270243548</v>
      </c>
      <c r="Y41" s="4">
        <f t="shared" si="5"/>
        <v>1787</v>
      </c>
      <c r="Z41" s="4">
        <f t="shared" si="22"/>
        <v>37</v>
      </c>
      <c r="AA41" s="21">
        <f t="shared" si="6"/>
        <v>13.69</v>
      </c>
      <c r="AB41" s="6">
        <f>AA41+B16</f>
        <v>120.0253745</v>
      </c>
      <c r="AC41" s="24">
        <f t="shared" si="26"/>
        <v>117.18319444544247</v>
      </c>
      <c r="AD41" s="4">
        <f t="shared" si="29"/>
        <v>5.669855101413846</v>
      </c>
      <c r="AE41" s="4">
        <f t="shared" si="8"/>
        <v>2.842180054557531</v>
      </c>
      <c r="AF41" s="6">
        <f t="shared" si="30"/>
        <v>664.4117328264626</v>
      </c>
      <c r="AG41" s="30">
        <f>0.036*(SQRT(AF41)-SQRT(B12))</f>
        <v>-0.052817847490799104</v>
      </c>
      <c r="AH41" s="27">
        <v>0</v>
      </c>
      <c r="AI41" s="47">
        <f>AH41+B17</f>
        <v>1.975</v>
      </c>
      <c r="AJ41" s="4">
        <f t="shared" si="9"/>
        <v>2.1407965626458743</v>
      </c>
      <c r="AK41" s="4">
        <f>120*(AI41/AI254)^-0.055</f>
        <v>123.69960739219069</v>
      </c>
      <c r="AL41" s="4">
        <f t="shared" si="0"/>
        <v>-0.16579656264587417</v>
      </c>
      <c r="AM41" s="5">
        <f t="shared" si="23"/>
        <v>264.815694305846</v>
      </c>
      <c r="AN41" s="26">
        <f>0.12*(SQRT(AM41)-SQRT(B13))</f>
        <v>-0.02631165544675767</v>
      </c>
      <c r="AO41" s="4">
        <f t="shared" si="10"/>
        <v>1.549168327254465</v>
      </c>
      <c r="AP41" s="21">
        <v>0</v>
      </c>
      <c r="AQ41" s="21">
        <f t="shared" si="11"/>
        <v>17.02</v>
      </c>
      <c r="AR41" s="21">
        <f t="shared" si="12"/>
        <v>2.5900000000000003</v>
      </c>
      <c r="AS41" s="35">
        <f t="shared" si="13"/>
        <v>0.1763713502573704</v>
      </c>
      <c r="AT41" s="36">
        <f>-0.32*LN(AF41/AF254)+0.0042*(AI41-AI254)-0.000105*(AQ41-AQ254)-0.000315*(AR41-AR254)</f>
        <v>0.43771822386804726</v>
      </c>
      <c r="AU41" s="4">
        <f>AU254+5*LN(AF41/AF254)+0.125*(AP41-AP254)+0.0011*(AQ41-AQ254)+0.0033*(AR41-AR254)</f>
        <v>23.99590909581176</v>
      </c>
      <c r="AV41" s="4">
        <f>0.042*(AU41-B14)</f>
        <v>-0.04217181797590602</v>
      </c>
      <c r="AW41" s="4">
        <f>0.05*0.036*(SQRT(AF41)-SQRT(B12))</f>
        <v>-0.0026408923745399556</v>
      </c>
      <c r="AX41" s="21">
        <v>0</v>
      </c>
      <c r="AY41" s="36">
        <f>-0.4*(AX41/AX254)</f>
        <v>0</v>
      </c>
      <c r="AZ41" s="36">
        <f>-0.8*LN((B15+AX41)/B15)*(LN((B15+AX254)/B15))^-1</f>
        <v>0</v>
      </c>
      <c r="BA41" s="36">
        <f>-0.1*(AQ41/AQ254)</f>
        <v>-0.0019563218390804596</v>
      </c>
      <c r="BB41" s="6">
        <f t="shared" si="14"/>
        <v>-0.12543185700005885</v>
      </c>
      <c r="BC41" s="6">
        <f t="shared" si="24"/>
        <v>0.002515001183812593</v>
      </c>
      <c r="BD41" s="4">
        <f t="shared" si="15"/>
        <v>0.8576174729102357</v>
      </c>
      <c r="BE41" s="4">
        <f>SUMPRODUCT(BC$4:BC41,$BD$317:BD$354)</f>
        <v>-0.08124868202789477</v>
      </c>
      <c r="BF41" s="23">
        <f>BE41*B7</f>
        <v>-0.08124868202789477</v>
      </c>
      <c r="BG41" s="48"/>
    </row>
    <row r="42" spans="5:59" ht="15">
      <c r="E42" s="1">
        <f t="shared" si="16"/>
        <v>38</v>
      </c>
      <c r="F42" s="1">
        <f t="shared" si="1"/>
        <v>1788</v>
      </c>
      <c r="G42" s="3">
        <v>0</v>
      </c>
      <c r="H42" s="3">
        <f t="shared" si="17"/>
        <v>0.03039999999999998</v>
      </c>
      <c r="I42" s="5">
        <f t="shared" si="18"/>
        <v>0.0013022960459224437</v>
      </c>
      <c r="J42" s="5">
        <f t="shared" si="19"/>
        <v>0.0173642169728502</v>
      </c>
      <c r="K42" s="4">
        <f t="shared" si="2"/>
        <v>0.011733486981227333</v>
      </c>
      <c r="L42" s="4">
        <f t="shared" si="3"/>
        <v>0.0001294843169363141</v>
      </c>
      <c r="M42" s="4">
        <f>60*B8*LN(U42/U4)</f>
        <v>0.0021760248911195405</v>
      </c>
      <c r="N42" s="4">
        <f t="shared" si="20"/>
        <v>2.81761096663031E-07</v>
      </c>
      <c r="O42" s="4">
        <f>SUMPRODUCT($M$4:M42,L$316:$L$354)</f>
        <v>-0.0005887496143738079</v>
      </c>
      <c r="P42" s="4">
        <f t="shared" si="21"/>
        <v>0.0027647745054933484</v>
      </c>
      <c r="Q42" s="4">
        <f>(B5/(B4*B6))*W41</f>
        <v>0.644501862736999</v>
      </c>
      <c r="R42" s="4">
        <f>(1.558-1.399*B3*0.01)*Q42+(7.4706-0.20207*B3)*0.001*Q42^2-(1.2748-0.12015*B3)*0.00001*Q42^3+(2.4491-0.12639*B3)*0.0000001*Q42^4-(1.5468-0.15326*B3)*0.0000000001*Q42^5</f>
        <v>0.8416100864687791</v>
      </c>
      <c r="S42" s="4">
        <f t="shared" si="27"/>
        <v>0.03261965940534743</v>
      </c>
      <c r="T42" s="5">
        <f>(T4+R42)*EXP(0.0423*BF41)</f>
        <v>279.878064948451</v>
      </c>
      <c r="U42" s="4">
        <f t="shared" si="25"/>
        <v>280.03538475422505</v>
      </c>
      <c r="V42" s="4">
        <f t="shared" si="4"/>
        <v>0.0005664148434949266</v>
      </c>
      <c r="W42" s="4">
        <f>SUMPRODUCT($J$4:J42,$S$316:S$354)</f>
        <v>0.10296196295003464</v>
      </c>
      <c r="X42" s="6">
        <f>5.35*LN(U42/U4)</f>
        <v>0.0006760588366718666</v>
      </c>
      <c r="Y42" s="4">
        <f t="shared" si="5"/>
        <v>1788</v>
      </c>
      <c r="Z42" s="4">
        <f t="shared" si="22"/>
        <v>38</v>
      </c>
      <c r="AA42" s="21">
        <f t="shared" si="6"/>
        <v>14.06</v>
      </c>
      <c r="AB42" s="6">
        <f>AA42+B16</f>
        <v>120.3953745</v>
      </c>
      <c r="AC42" s="24">
        <f t="shared" si="26"/>
        <v>117.52960630649851</v>
      </c>
      <c r="AD42" s="4">
        <f t="shared" si="29"/>
        <v>5.6773261976299665</v>
      </c>
      <c r="AE42" s="4">
        <f t="shared" si="8"/>
        <v>2.865768193501495</v>
      </c>
      <c r="AF42" s="6">
        <f t="shared" si="30"/>
        <v>667.2539128810201</v>
      </c>
      <c r="AG42" s="30">
        <f>0.036*(SQRT(AF42)-SQRT(B12))</f>
        <v>-0.050835217188341865</v>
      </c>
      <c r="AH42" s="27">
        <v>0</v>
      </c>
      <c r="AI42" s="47">
        <f>AH42+B17</f>
        <v>1.975</v>
      </c>
      <c r="AJ42" s="4">
        <f t="shared" si="9"/>
        <v>2.1394562466485874</v>
      </c>
      <c r="AK42" s="4">
        <f>120*(AI42/AI254)^-0.055</f>
        <v>123.69960739219069</v>
      </c>
      <c r="AL42" s="4">
        <f t="shared" si="0"/>
        <v>-0.16445624664858727</v>
      </c>
      <c r="AM42" s="5">
        <f t="shared" si="23"/>
        <v>264.64989774320014</v>
      </c>
      <c r="AN42" s="26">
        <f>0.12*(SQRT(AM42)-SQRT(B13))</f>
        <v>-0.02692305188559274</v>
      </c>
      <c r="AO42" s="4">
        <f t="shared" si="10"/>
        <v>1.5469448431426835</v>
      </c>
      <c r="AP42" s="21">
        <v>0</v>
      </c>
      <c r="AQ42" s="21">
        <f t="shared" si="11"/>
        <v>17.48</v>
      </c>
      <c r="AR42" s="21">
        <f t="shared" si="12"/>
        <v>2.66</v>
      </c>
      <c r="AS42" s="35">
        <f t="shared" si="13"/>
        <v>0.17613925379476275</v>
      </c>
      <c r="AT42" s="36">
        <f>-0.32*LN(AF42/AF254)+0.0042*(AI42-AI254)-0.000105*(AQ42-AQ254)-0.000315*(AR42-AR254)</f>
        <v>0.4362819168781797</v>
      </c>
      <c r="AU42" s="4">
        <f>AU254+5*LN(AF42/AF254)+0.125*(AP42-AP254)+0.0011*(AQ42-AQ254)+0.0033*(AR42-AR254)</f>
        <v>24.017989173778442</v>
      </c>
      <c r="AV42" s="4">
        <f>0.042*(AU42-B14)</f>
        <v>-0.04124445470130542</v>
      </c>
      <c r="AW42" s="4">
        <f>0.05*0.036*(SQRT(AF42)-SQRT(B12))</f>
        <v>-0.0025417608594170936</v>
      </c>
      <c r="AX42" s="21">
        <v>0</v>
      </c>
      <c r="AY42" s="36">
        <f>-0.4*(AX42/AX254)</f>
        <v>0</v>
      </c>
      <c r="AZ42" s="36">
        <f>-0.8*LN((B15+AX42)/B15)*(LN((B15+AX254)/B15))^-1</f>
        <v>0</v>
      </c>
      <c r="BA42" s="36">
        <f>-0.1*(AQ42/AQ254)</f>
        <v>-0.0020091954022988506</v>
      </c>
      <c r="BB42" s="6">
        <f t="shared" si="14"/>
        <v>-0.1228776212002841</v>
      </c>
      <c r="BC42" s="6">
        <f t="shared" si="24"/>
        <v>0.0025542357997747484</v>
      </c>
      <c r="BD42" s="4">
        <f t="shared" si="15"/>
        <v>0.8572935082375968</v>
      </c>
      <c r="BE42" s="4">
        <f>SUMPRODUCT(BC$4:BC42,$BD$316:BD$354)</f>
        <v>-0.08105649897248501</v>
      </c>
      <c r="BF42" s="23">
        <f>BE42*B7</f>
        <v>-0.08105649897248501</v>
      </c>
      <c r="BG42" s="48"/>
    </row>
    <row r="43" spans="5:59" ht="15">
      <c r="E43" s="1">
        <f t="shared" si="16"/>
        <v>39</v>
      </c>
      <c r="F43" s="1">
        <f t="shared" si="1"/>
        <v>1789</v>
      </c>
      <c r="G43" s="3">
        <v>0</v>
      </c>
      <c r="H43" s="3">
        <f t="shared" si="17"/>
        <v>0.031199999999999978</v>
      </c>
      <c r="I43" s="5">
        <f t="shared" si="18"/>
        <v>0.0015229477808903623</v>
      </c>
      <c r="J43" s="5">
        <f t="shared" si="19"/>
        <v>0.017179365015147868</v>
      </c>
      <c r="K43" s="4">
        <f t="shared" si="2"/>
        <v>0.012497687203961747</v>
      </c>
      <c r="L43" s="4">
        <f t="shared" si="3"/>
        <v>0.00013078574878498087</v>
      </c>
      <c r="M43" s="4">
        <f>60*B8*LN(U43/U4)</f>
        <v>0.0028975280438332087</v>
      </c>
      <c r="N43" s="4">
        <f t="shared" si="20"/>
        <v>3.789553748382071E-07</v>
      </c>
      <c r="O43" s="4">
        <f>SUMPRODUCT($M$4:M43,L$315:$L$354)</f>
        <v>-0.00033569009499703084</v>
      </c>
      <c r="P43" s="4">
        <f t="shared" si="21"/>
        <v>0.0032332181388302393</v>
      </c>
      <c r="Q43" s="4">
        <f>(B5/(B4*B6))*W42</f>
        <v>0.6530405163902749</v>
      </c>
      <c r="R43" s="4">
        <f>(1.558-1.399*B3*0.01)*Q43+(7.4706-0.20207*B3)*0.001*Q43^2-(1.2748-0.12015*B3)*0.00001*Q43^3+(2.4491-0.12639*B3)*0.0000001*Q43^4-(1.5468-0.15326*B3)*0.0000000001*Q43^5</f>
        <v>0.8527813352410608</v>
      </c>
      <c r="S43" s="4">
        <f t="shared" si="27"/>
        <v>0.0326656134480962</v>
      </c>
      <c r="T43" s="5">
        <f>(T4+R43)*EXP(0.0423*BF42)</f>
        <v>279.891473194169</v>
      </c>
      <c r="U43" s="4">
        <f t="shared" si="25"/>
        <v>280.04711824120625</v>
      </c>
      <c r="V43" s="4">
        <f t="shared" si="4"/>
        <v>0.0005611744968685676</v>
      </c>
      <c r="W43" s="4">
        <f>SUMPRODUCT($J$4:J43,$S$315:S$354)</f>
        <v>0.10424514837986486</v>
      </c>
      <c r="X43" s="6">
        <f>5.35*LN(U43/U4)</f>
        <v>0.000900219223839005</v>
      </c>
      <c r="Y43" s="4">
        <f t="shared" si="5"/>
        <v>1789</v>
      </c>
      <c r="Z43" s="4">
        <f t="shared" si="22"/>
        <v>39</v>
      </c>
      <c r="AA43" s="21">
        <f t="shared" si="6"/>
        <v>14.43</v>
      </c>
      <c r="AB43" s="6">
        <f>AA43+B16</f>
        <v>120.76537450000001</v>
      </c>
      <c r="AC43" s="24">
        <f t="shared" si="26"/>
        <v>117.87848162815854</v>
      </c>
      <c r="AD43" s="4">
        <f t="shared" si="29"/>
        <v>5.684834685845198</v>
      </c>
      <c r="AE43" s="4">
        <f t="shared" si="8"/>
        <v>2.886892871841468</v>
      </c>
      <c r="AF43" s="6">
        <f t="shared" si="30"/>
        <v>670.1196810745216</v>
      </c>
      <c r="AG43" s="30">
        <f>0.036*(SQRT(AF43)-SQRT(B12))</f>
        <v>-0.048840403046174694</v>
      </c>
      <c r="AH43" s="27">
        <v>0</v>
      </c>
      <c r="AI43" s="47">
        <f>AH43+B17</f>
        <v>1.975</v>
      </c>
      <c r="AJ43" s="4">
        <f t="shared" si="9"/>
        <v>2.138126765899896</v>
      </c>
      <c r="AK43" s="4">
        <f>120*(AI43/AI254)^-0.055</f>
        <v>123.69960739219069</v>
      </c>
      <c r="AL43" s="4">
        <f t="shared" si="0"/>
        <v>-0.16312676589989605</v>
      </c>
      <c r="AM43" s="5">
        <f t="shared" si="23"/>
        <v>264.4854414965516</v>
      </c>
      <c r="AN43" s="26">
        <f>0.12*(SQRT(AM43)-SQRT(B13))</f>
        <v>-0.027529694959891913</v>
      </c>
      <c r="AO43" s="4">
        <f t="shared" si="10"/>
        <v>1.5447161189635348</v>
      </c>
      <c r="AP43" s="21">
        <v>0</v>
      </c>
      <c r="AQ43" s="21">
        <f t="shared" si="11"/>
        <v>17.94</v>
      </c>
      <c r="AR43" s="21">
        <f t="shared" si="12"/>
        <v>2.7300000000000004</v>
      </c>
      <c r="AS43" s="35">
        <f t="shared" si="13"/>
        <v>0.17590661035226288</v>
      </c>
      <c r="AT43" s="36">
        <f>-0.32*LN(AF43/AF254)+0.0042*(AI43-AI254)-0.000105*(AQ43-AQ254)-0.000315*(AR43-AR254)</f>
        <v>0.43484015169594653</v>
      </c>
      <c r="AU43" s="4">
        <f>AU254+5*LN(AF43/AF254)+0.125*(AP43-AP254)+0.0011*(AQ43-AQ254)+0.0033*(AR43-AR254)</f>
        <v>24.040154536000834</v>
      </c>
      <c r="AV43" s="4">
        <f>0.042*(AU43-B14)</f>
        <v>-0.040313509487964964</v>
      </c>
      <c r="AW43" s="4">
        <f>0.05*0.036*(SQRT(AF43)-SQRT(B12))</f>
        <v>-0.002442020152308735</v>
      </c>
      <c r="AX43" s="21">
        <v>0</v>
      </c>
      <c r="AY43" s="36">
        <f>-0.4*(AX43/AX254)</f>
        <v>0</v>
      </c>
      <c r="AZ43" s="36">
        <f>-0.8*LN((B15+AX43)/B15)*(LN((B15+AX254)/B15))^-1</f>
        <v>0</v>
      </c>
      <c r="BA43" s="36">
        <f>-0.1*(AQ43/AQ254)</f>
        <v>-0.0020620689655172415</v>
      </c>
      <c r="BB43" s="6">
        <f t="shared" si="14"/>
        <v>-0.12028747738801854</v>
      </c>
      <c r="BC43" s="6">
        <f t="shared" si="24"/>
        <v>0.0025901438122655634</v>
      </c>
      <c r="BD43" s="4">
        <f t="shared" si="15"/>
        <v>0.8569688064429998</v>
      </c>
      <c r="BE43" s="4">
        <f>SUMPRODUCT(BC$4:BC43,$BD$315:BD$354)</f>
        <v>-0.08075797211147909</v>
      </c>
      <c r="BF43" s="23">
        <f>BE43*B7</f>
        <v>-0.08075797211147909</v>
      </c>
      <c r="BG43" s="48"/>
    </row>
    <row r="44" spans="5:59" ht="15">
      <c r="E44" s="1">
        <f t="shared" si="16"/>
        <v>40</v>
      </c>
      <c r="F44" s="1">
        <f t="shared" si="1"/>
        <v>1790</v>
      </c>
      <c r="G44" s="3">
        <v>0</v>
      </c>
      <c r="H44" s="3">
        <f t="shared" si="17"/>
        <v>0.03199999999999998</v>
      </c>
      <c r="I44" s="5">
        <f t="shared" si="18"/>
        <v>0.0017513110168967244</v>
      </c>
      <c r="J44" s="5">
        <f t="shared" si="19"/>
        <v>0.01699737305034382</v>
      </c>
      <c r="K44" s="4">
        <f t="shared" si="2"/>
        <v>0.013251315932759435</v>
      </c>
      <c r="L44" s="4">
        <f t="shared" si="3"/>
        <v>0.00013210026500060337</v>
      </c>
      <c r="M44" s="4">
        <f>60*B8*LN(U44/U4)</f>
        <v>0.00366598934079248</v>
      </c>
      <c r="N44" s="4">
        <f t="shared" si="20"/>
        <v>4.842781634080738E-07</v>
      </c>
      <c r="O44" s="4">
        <f>SUMPRODUCT($M$4:M44,L$314:$L$354)</f>
        <v>-5.204394807926665E-05</v>
      </c>
      <c r="P44" s="4">
        <f t="shared" si="21"/>
        <v>0.0037180332888717463</v>
      </c>
      <c r="Q44" s="4">
        <f>(B5/(B4*B6))*W43</f>
        <v>0.6611791731496401</v>
      </c>
      <c r="R44" s="4">
        <f>(1.558-1.399*B3*0.01)*Q44+(7.4706-0.20207*B3)*0.001*Q44^2-(1.2748-0.12015*B3)*0.00001*Q44^3+(2.4491-0.12639*B3)*0.0000001*Q44^4-(1.5468-0.15326*B3)*0.0000000001*Q44^5</f>
        <v>0.8634297793185034</v>
      </c>
      <c r="S44" s="4">
        <f t="shared" si="27"/>
        <v>0.03271182697905932</v>
      </c>
      <c r="T44" s="5">
        <f>(T4+R44)*EXP(0.0423*BF43)</f>
        <v>279.9056197285741</v>
      </c>
      <c r="U44" s="4">
        <f t="shared" si="25"/>
        <v>280.0596159284102</v>
      </c>
      <c r="V44" s="4">
        <f t="shared" si="4"/>
        <v>0.0005560151263213727</v>
      </c>
      <c r="W44" s="4">
        <f>SUMPRODUCT($J$4:J44,$S$314:S$354)</f>
        <v>0.10547044203422573</v>
      </c>
      <c r="X44" s="6">
        <f>5.35*LN(U44/U4)</f>
        <v>0.00113896881377699</v>
      </c>
      <c r="Y44" s="4">
        <f t="shared" si="5"/>
        <v>1790</v>
      </c>
      <c r="Z44" s="4">
        <f t="shared" si="22"/>
        <v>40</v>
      </c>
      <c r="AA44" s="21">
        <f t="shared" si="6"/>
        <v>14.8</v>
      </c>
      <c r="AB44" s="6">
        <f>AA44+B16</f>
        <v>121.1353745</v>
      </c>
      <c r="AC44" s="24">
        <f t="shared" si="26"/>
        <v>118.22950591208988</v>
      </c>
      <c r="AD44" s="4">
        <f t="shared" si="29"/>
        <v>5.6923740715518205</v>
      </c>
      <c r="AE44" s="4">
        <f t="shared" si="8"/>
        <v>2.9058685879101205</v>
      </c>
      <c r="AF44" s="6">
        <f t="shared" si="30"/>
        <v>673.0065739463631</v>
      </c>
      <c r="AG44" s="30">
        <f>0.036*(SQRT(AF44)-SQRT(B12))</f>
        <v>-0.04683519239601433</v>
      </c>
      <c r="AH44" s="27">
        <v>0</v>
      </c>
      <c r="AI44" s="47">
        <f>AH44+B17</f>
        <v>1.975</v>
      </c>
      <c r="AJ44" s="4">
        <f t="shared" si="9"/>
        <v>2.136808032806567</v>
      </c>
      <c r="AK44" s="4">
        <f>120*(AI44/AI254)^-0.055</f>
        <v>123.69960739219069</v>
      </c>
      <c r="AL44" s="4">
        <f t="shared" si="0"/>
        <v>-0.16180803280656697</v>
      </c>
      <c r="AM44" s="5">
        <f t="shared" si="23"/>
        <v>264.32231473065167</v>
      </c>
      <c r="AN44" s="26">
        <f>0.12*(SQRT(AM44)-SQRT(B13))</f>
        <v>-0.02813162022293966</v>
      </c>
      <c r="AO44" s="4">
        <f t="shared" si="10"/>
        <v>1.5424841394750106</v>
      </c>
      <c r="AP44" s="21">
        <v>0</v>
      </c>
      <c r="AQ44" s="21">
        <f t="shared" si="11"/>
        <v>18.400000000000002</v>
      </c>
      <c r="AR44" s="21">
        <f t="shared" si="12"/>
        <v>2.8000000000000003</v>
      </c>
      <c r="AS44" s="35">
        <f t="shared" si="13"/>
        <v>0.1756736271071142</v>
      </c>
      <c r="AT44" s="36">
        <f>-0.32*LN(AF44/AF254)+0.0042*(AI44-AI254)-0.000105*(AQ44-AQ254)-0.000315*(AR44-AR254)</f>
        <v>0.4333941943944679</v>
      </c>
      <c r="AU44" s="4">
        <f>AU254+5*LN(AF44/AF254)+0.125*(AP44-AP254)+0.0011*(AQ44-AQ254)+0.0033*(AR44-AR254)</f>
        <v>24.06238540008644</v>
      </c>
      <c r="AV44" s="4">
        <f>0.042*(AU44-B14)</f>
        <v>-0.03937981319636947</v>
      </c>
      <c r="AW44" s="4">
        <f>0.05*0.036*(SQRT(AF44)-SQRT(B12))</f>
        <v>-0.0023417596198007165</v>
      </c>
      <c r="AX44" s="21">
        <v>0</v>
      </c>
      <c r="AY44" s="36">
        <f>-0.4*(AX44/AX254)</f>
        <v>0</v>
      </c>
      <c r="AZ44" s="36">
        <f>-0.8*LN((B15+AX44)/B15)*(LN((B15+AX254)/B15))^-1</f>
        <v>0</v>
      </c>
      <c r="BA44" s="36">
        <f>-0.1*(AQ44/AQ254)</f>
        <v>-0.002114942528735633</v>
      </c>
      <c r="BB44" s="6">
        <f t="shared" si="14"/>
        <v>-0.11766435915008282</v>
      </c>
      <c r="BC44" s="6">
        <f t="shared" si="24"/>
        <v>0.0026231182379357204</v>
      </c>
      <c r="BD44" s="4">
        <f t="shared" si="15"/>
        <v>0.8566433658491697</v>
      </c>
      <c r="BE44" s="4">
        <f>SUMPRODUCT(BC$4:BC44,$BD$314:BD$354)</f>
        <v>-0.08035838348999215</v>
      </c>
      <c r="BF44" s="23">
        <f>BE44*B7</f>
        <v>-0.08035838348999215</v>
      </c>
      <c r="BG44" s="48"/>
    </row>
    <row r="45" spans="5:59" ht="15">
      <c r="E45" s="1">
        <f t="shared" si="16"/>
        <v>41</v>
      </c>
      <c r="F45" s="1">
        <f t="shared" si="1"/>
        <v>1791</v>
      </c>
      <c r="G45" s="3">
        <v>0</v>
      </c>
      <c r="H45" s="3">
        <f t="shared" si="17"/>
        <v>0.03279999999999998</v>
      </c>
      <c r="I45" s="5">
        <f t="shared" si="18"/>
        <v>0.001986945124697856</v>
      </c>
      <c r="J45" s="5">
        <f t="shared" si="19"/>
        <v>0.01681924343788187</v>
      </c>
      <c r="K45" s="4">
        <f t="shared" si="2"/>
        <v>0.013993811437420255</v>
      </c>
      <c r="L45" s="4">
        <f t="shared" si="3"/>
        <v>0.00013342799732727692</v>
      </c>
      <c r="M45" s="4">
        <f>60*B8*LN(U45/U4)</f>
        <v>0.004480752516502136</v>
      </c>
      <c r="N45" s="4">
        <f t="shared" si="20"/>
        <v>5.978578347960364E-07</v>
      </c>
      <c r="O45" s="4">
        <f>SUMPRODUCT($M$4:M45,L$313:$L$354)</f>
        <v>0.00026246801676858735</v>
      </c>
      <c r="P45" s="4">
        <f t="shared" si="21"/>
        <v>0.004218284499733549</v>
      </c>
      <c r="Q45" s="4">
        <f>(B5/(B4*B6))*W44</f>
        <v>0.6689506489242605</v>
      </c>
      <c r="R45" s="4">
        <f>(1.558-1.399*B3*0.01)*Q45+(7.4706-0.20207*B3)*0.001*Q45^2-(1.2748-0.12015*B3)*0.00001*Q45^3+(2.4491-0.12639*B3)*0.0000001*Q45^4-(1.5468-0.15326*B3)*0.0000000001*Q45^5</f>
        <v>0.8735982828830132</v>
      </c>
      <c r="S45" s="4">
        <f t="shared" si="27"/>
        <v>0.032758302015668386</v>
      </c>
      <c r="T45" s="5">
        <f>(T4+R45)*EXP(0.0423*BF44)</f>
        <v>279.92048489879573</v>
      </c>
      <c r="U45" s="4">
        <f t="shared" si="25"/>
        <v>280.07286724434294</v>
      </c>
      <c r="V45" s="4">
        <f t="shared" si="4"/>
        <v>0.0005509698562131829</v>
      </c>
      <c r="W45" s="4">
        <f>SUMPRODUCT($J$4:J45,$S$313:S$354)</f>
        <v>0.10664279815865907</v>
      </c>
      <c r="X45" s="6">
        <f>5.35*LN(U45/U4)</f>
        <v>0.0013921037144765639</v>
      </c>
      <c r="Y45" s="4">
        <f t="shared" si="5"/>
        <v>1791</v>
      </c>
      <c r="Z45" s="4">
        <f t="shared" si="22"/>
        <v>41</v>
      </c>
      <c r="AA45" s="21">
        <f t="shared" si="6"/>
        <v>15.17</v>
      </c>
      <c r="AB45" s="6">
        <f>AA45+B16</f>
        <v>121.5053745</v>
      </c>
      <c r="AC45" s="24">
        <f t="shared" si="26"/>
        <v>118.58240523040418</v>
      </c>
      <c r="AD45" s="4">
        <f t="shared" si="29"/>
        <v>5.699938715368301</v>
      </c>
      <c r="AE45" s="4">
        <f t="shared" si="8"/>
        <v>2.922969269595825</v>
      </c>
      <c r="AF45" s="6">
        <f t="shared" si="30"/>
        <v>675.9124425342733</v>
      </c>
      <c r="AG45" s="30">
        <f>0.036*(SQRT(AF45)-SQRT(B12))</f>
        <v>-0.044821139898277816</v>
      </c>
      <c r="AH45" s="27">
        <v>0</v>
      </c>
      <c r="AI45" s="47">
        <f>AH45+B17</f>
        <v>1.975</v>
      </c>
      <c r="AJ45" s="4">
        <f t="shared" si="9"/>
        <v>2.1354999604834792</v>
      </c>
      <c r="AK45" s="4">
        <f>120*(AI45/AI254)^-0.055</f>
        <v>123.69960739219069</v>
      </c>
      <c r="AL45" s="4">
        <f t="shared" si="0"/>
        <v>-0.16049996048347914</v>
      </c>
      <c r="AM45" s="5">
        <f t="shared" si="23"/>
        <v>264.1605066978451</v>
      </c>
      <c r="AN45" s="26">
        <f>0.12*(SQRT(AM45)-SQRT(B13))</f>
        <v>-0.028728862982956967</v>
      </c>
      <c r="AO45" s="4">
        <f t="shared" si="10"/>
        <v>1.5402506167529726</v>
      </c>
      <c r="AP45" s="21">
        <v>0</v>
      </c>
      <c r="AQ45" s="21">
        <f t="shared" si="11"/>
        <v>18.86</v>
      </c>
      <c r="AR45" s="21">
        <f t="shared" si="12"/>
        <v>2.87</v>
      </c>
      <c r="AS45" s="35">
        <f t="shared" si="13"/>
        <v>0.17544048277287225</v>
      </c>
      <c r="AT45" s="36">
        <f>-0.32*LN(AF45/AF254)+0.0042*(AI45-AI254)-0.000105*(AQ45-AQ254)-0.000315*(AR45-AR254)</f>
        <v>0.43194514133640216</v>
      </c>
      <c r="AU45" s="4">
        <f>AU254+5*LN(AF45/AF254)+0.125*(AP45-AP254)+0.0011*(AQ45-AQ254)+0.0033*(AR45-AR254)</f>
        <v>24.084664635368714</v>
      </c>
      <c r="AV45" s="4">
        <f>0.042*(AU45-B14)</f>
        <v>-0.03844408531451401</v>
      </c>
      <c r="AW45" s="4">
        <f>0.05*0.036*(SQRT(AF45)-SQRT(B12))</f>
        <v>-0.002241056994913891</v>
      </c>
      <c r="AX45" s="21">
        <v>0</v>
      </c>
      <c r="AY45" s="36">
        <f>-0.4*(AX45/AX254)</f>
        <v>0</v>
      </c>
      <c r="AZ45" s="36">
        <f>-0.8*LN((B15+AX45)/B15)*(LN((B15+AX254)/B15))^-1</f>
        <v>0</v>
      </c>
      <c r="BA45" s="36">
        <f>-0.1*(AQ45/AQ254)</f>
        <v>-0.0021678160919540233</v>
      </c>
      <c r="BB45" s="6">
        <f t="shared" si="14"/>
        <v>-0.11501085756814014</v>
      </c>
      <c r="BC45" s="6">
        <f t="shared" si="24"/>
        <v>0.002653501581942677</v>
      </c>
      <c r="BD45" s="4">
        <f t="shared" si="15"/>
        <v>0.856317184775008</v>
      </c>
      <c r="BE45" s="4">
        <f>SUMPRODUCT(BC$4:BC45,$BD$313:BD$354)</f>
        <v>-0.07986280119282281</v>
      </c>
      <c r="BF45" s="23">
        <f>BE45*B7</f>
        <v>-0.07986280119282281</v>
      </c>
      <c r="BG45" s="48"/>
    </row>
    <row r="46" spans="5:59" ht="15">
      <c r="E46" s="1">
        <f t="shared" si="16"/>
        <v>42</v>
      </c>
      <c r="F46" s="1">
        <f t="shared" si="1"/>
        <v>1792</v>
      </c>
      <c r="G46" s="3">
        <v>0</v>
      </c>
      <c r="H46" s="3">
        <f t="shared" si="17"/>
        <v>0.033599999999999984</v>
      </c>
      <c r="I46" s="5">
        <f t="shared" si="18"/>
        <v>0.00222942538061654</v>
      </c>
      <c r="J46" s="5">
        <f t="shared" si="19"/>
        <v>0.016645837059275557</v>
      </c>
      <c r="K46" s="4">
        <f t="shared" si="2"/>
        <v>0.014724737560107889</v>
      </c>
      <c r="L46" s="4">
        <f t="shared" si="3"/>
        <v>0.00013476907884565805</v>
      </c>
      <c r="M46" s="4">
        <f>60*B8*LN(U46/U4)</f>
        <v>0.005341126516378099</v>
      </c>
      <c r="N46" s="4">
        <f t="shared" si="20"/>
        <v>7.19818700610395E-07</v>
      </c>
      <c r="O46" s="4">
        <f>SUMPRODUCT($M$4:M46,L$312:$L$354)</f>
        <v>0.0006080564333291829</v>
      </c>
      <c r="P46" s="4">
        <f t="shared" si="21"/>
        <v>0.004733070083048916</v>
      </c>
      <c r="Q46" s="4">
        <f>(B5/(B4*B6))*W45</f>
        <v>0.6763863662217714</v>
      </c>
      <c r="R46" s="4">
        <f>(1.558-1.399*B3*0.01)*Q46+(7.4706-0.20207*B3)*0.001*Q46^2-(1.2748-0.12015*B3)*0.00001*Q46^3+(2.4491-0.12639*B3)*0.0000001*Q46^4-(1.5468-0.15326*B3)*0.0000000001*Q46^5</f>
        <v>0.8833278978575204</v>
      </c>
      <c r="S46" s="4">
        <f t="shared" si="27"/>
        <v>0.032805040597247315</v>
      </c>
      <c r="T46" s="5">
        <f>(T4+R46)*EXP(0.0423*BF45)</f>
        <v>279.93604977202335</v>
      </c>
      <c r="U46" s="4">
        <f t="shared" si="25"/>
        <v>280.0868610557804</v>
      </c>
      <c r="V46" s="4">
        <f t="shared" si="4"/>
        <v>0.0005460673605046985</v>
      </c>
      <c r="W46" s="4">
        <f>SUMPRODUCT($J$4:J46,$S$312:S$354)</f>
        <v>0.10776694429045272</v>
      </c>
      <c r="X46" s="6">
        <f>5.35*LN(U46/U4)</f>
        <v>0.0016594092254717092</v>
      </c>
      <c r="Y46" s="4">
        <f t="shared" si="5"/>
        <v>1792</v>
      </c>
      <c r="Z46" s="4">
        <f t="shared" si="22"/>
        <v>42</v>
      </c>
      <c r="AA46" s="21">
        <f t="shared" si="6"/>
        <v>15.54</v>
      </c>
      <c r="AB46" s="6">
        <f>AA46+B16</f>
        <v>121.87537449999999</v>
      </c>
      <c r="AC46" s="24">
        <f t="shared" si="26"/>
        <v>118.93694095684978</v>
      </c>
      <c r="AD46" s="4">
        <f t="shared" si="29"/>
        <v>5.707523720911487</v>
      </c>
      <c r="AE46" s="4">
        <f t="shared" si="8"/>
        <v>2.938433543150211</v>
      </c>
      <c r="AF46" s="6">
        <f t="shared" si="30"/>
        <v>678.8354118038691</v>
      </c>
      <c r="AG46" s="30">
        <f>0.036*(SQRT(AF46)-SQRT(B12))</f>
        <v>-0.04279959789629853</v>
      </c>
      <c r="AH46" s="27">
        <v>0</v>
      </c>
      <c r="AI46" s="47">
        <f>AH46+B17</f>
        <v>1.975</v>
      </c>
      <c r="AJ46" s="4">
        <f t="shared" si="9"/>
        <v>2.1342024627478993</v>
      </c>
      <c r="AK46" s="4">
        <f>120*(AI46/AI254)^-0.055</f>
        <v>123.69960739219069</v>
      </c>
      <c r="AL46" s="4">
        <f t="shared" si="0"/>
        <v>-0.15920246274789918</v>
      </c>
      <c r="AM46" s="5">
        <f t="shared" si="23"/>
        <v>264.0000067373616</v>
      </c>
      <c r="AN46" s="26">
        <f>0.12*(SQRT(AM46)-SQRT(B13))</f>
        <v>-0.029321458304490306</v>
      </c>
      <c r="AO46" s="4">
        <f t="shared" si="10"/>
        <v>1.5380170265285138</v>
      </c>
      <c r="AP46" s="21">
        <v>0</v>
      </c>
      <c r="AQ46" s="21">
        <f t="shared" si="11"/>
        <v>19.32</v>
      </c>
      <c r="AR46" s="21">
        <f t="shared" si="12"/>
        <v>2.9400000000000004</v>
      </c>
      <c r="AS46" s="35">
        <f t="shared" si="13"/>
        <v>0.17520733139244857</v>
      </c>
      <c r="AT46" s="36">
        <f>-0.32*LN(AF46/AF254)+0.0042*(AI46-AI254)-0.000105*(AQ46-AQ254)-0.000315*(AR46-AR254)</f>
        <v>0.43049394158687737</v>
      </c>
      <c r="AU46" s="4">
        <f>AU254+5*LN(AF46/AF254)+0.125*(AP46-AP254)+0.0011*(AQ46-AQ254)+0.0033*(AR46-AR254)</f>
        <v>24.106977412705042</v>
      </c>
      <c r="AV46" s="4">
        <f>0.042*(AU46-B14)</f>
        <v>-0.03750694866638823</v>
      </c>
      <c r="AW46" s="4">
        <f>0.05*0.036*(SQRT(AF46)-SQRT(B12))</f>
        <v>-0.0021399798948149268</v>
      </c>
      <c r="AX46" s="21">
        <v>0</v>
      </c>
      <c r="AY46" s="36">
        <f>-0.4*(AX46/AX254)</f>
        <v>0</v>
      </c>
      <c r="AZ46" s="36">
        <f>-0.8*LN((B15+AX46)/B15)*(LN((B15+AX254)/B15))^-1</f>
        <v>0</v>
      </c>
      <c r="BA46" s="36">
        <f>-0.1*(AQ46/AQ254)</f>
        <v>-0.002220689655172414</v>
      </c>
      <c r="BB46" s="6">
        <f t="shared" si="14"/>
        <v>-0.11232926519169269</v>
      </c>
      <c r="BC46" s="6">
        <f t="shared" si="24"/>
        <v>0.002681592376447453</v>
      </c>
      <c r="BD46" s="4">
        <f t="shared" si="15"/>
        <v>0.8559902615355844</v>
      </c>
      <c r="BE46" s="4">
        <f>SUMPRODUCT(BC$4:BC46,$BD$312:BD$354)</f>
        <v>-0.07927607728681789</v>
      </c>
      <c r="BF46" s="23">
        <f>BE46*B7</f>
        <v>-0.07927607728681789</v>
      </c>
      <c r="BG46" s="48"/>
    </row>
    <row r="47" spans="5:59" ht="15">
      <c r="E47" s="1">
        <f t="shared" si="16"/>
        <v>43</v>
      </c>
      <c r="F47" s="1">
        <f t="shared" si="1"/>
        <v>1793</v>
      </c>
      <c r="G47" s="3">
        <v>0</v>
      </c>
      <c r="H47" s="3">
        <f t="shared" si="17"/>
        <v>0.034399999999999986</v>
      </c>
      <c r="I47" s="5">
        <f t="shared" si="18"/>
        <v>0.0024783434651703237</v>
      </c>
      <c r="J47" s="5">
        <f t="shared" si="19"/>
        <v>0.01647789095499602</v>
      </c>
      <c r="K47" s="4">
        <f t="shared" si="2"/>
        <v>0.015443765579833641</v>
      </c>
      <c r="L47" s="4">
        <f t="shared" si="3"/>
        <v>0.00013612364398703895</v>
      </c>
      <c r="M47" s="4">
        <f>60*B8*LN(U47/U4)</f>
        <v>0.0062463932432090105</v>
      </c>
      <c r="N47" s="4">
        <f t="shared" si="20"/>
        <v>8.502818100416289E-07</v>
      </c>
      <c r="O47" s="4">
        <f>SUMPRODUCT($M$4:M47,L$311:$L$354)</f>
        <v>0.000984870066652412</v>
      </c>
      <c r="P47" s="4">
        <f t="shared" si="21"/>
        <v>0.005261523176556598</v>
      </c>
      <c r="Q47" s="4">
        <f>(B5/(B4*B6))*W46</f>
        <v>0.6835163096433134</v>
      </c>
      <c r="R47" s="4">
        <f>(1.558-1.399*B3*0.01)*Q47+(7.4706-0.20207*B3)*0.001*Q47^2-(1.2748-0.12015*B3)*0.00001*Q47^3+(2.4491-0.12639*B3)*0.0000001*Q47^4-(1.5468-0.15326*B3)*0.0000000001*Q47^5</f>
        <v>0.8926578044133411</v>
      </c>
      <c r="S47" s="4">
        <f t="shared" si="27"/>
        <v>0.03285204478530167</v>
      </c>
      <c r="T47" s="5">
        <f>(T4+R47)*EXP(0.0423*BF46)</f>
        <v>279.95229610128825</v>
      </c>
      <c r="U47" s="4">
        <f t="shared" si="25"/>
        <v>280.1015857933405</v>
      </c>
      <c r="V47" s="4">
        <f t="shared" si="4"/>
        <v>0.0005413324116208465</v>
      </c>
      <c r="W47" s="4">
        <f>SUMPRODUCT($J$4:J47,$S$311:S$354)</f>
        <v>0.10884738316986622</v>
      </c>
      <c r="X47" s="6">
        <f>5.35*LN(U47/U4)</f>
        <v>0.0019406622445509991</v>
      </c>
      <c r="Y47" s="4">
        <f t="shared" si="5"/>
        <v>1793</v>
      </c>
      <c r="Z47" s="4">
        <f t="shared" si="22"/>
        <v>43</v>
      </c>
      <c r="AA47" s="21">
        <f t="shared" si="6"/>
        <v>15.91</v>
      </c>
      <c r="AB47" s="6">
        <f>AA47+B16</f>
        <v>122.2453745</v>
      </c>
      <c r="AC47" s="24">
        <f t="shared" si="26"/>
        <v>119.29290518522284</v>
      </c>
      <c r="AD47" s="4">
        <f t="shared" si="29"/>
        <v>5.715124837377777</v>
      </c>
      <c r="AE47" s="4">
        <f t="shared" si="8"/>
        <v>2.9524693147771615</v>
      </c>
      <c r="AF47" s="6">
        <f t="shared" si="30"/>
        <v>681.7738453470192</v>
      </c>
      <c r="AG47" s="30">
        <f>0.036*(SQRT(AF47)-SQRT(B12))</f>
        <v>-0.04077174280073637</v>
      </c>
      <c r="AH47" s="27">
        <v>0</v>
      </c>
      <c r="AI47" s="47">
        <f>AH47+B17</f>
        <v>1.975</v>
      </c>
      <c r="AJ47" s="4">
        <f t="shared" si="9"/>
        <v>2.1329154541138045</v>
      </c>
      <c r="AK47" s="4">
        <f>120*(AI47/AI254)^-0.055</f>
        <v>123.69960739219069</v>
      </c>
      <c r="AL47" s="4">
        <f t="shared" si="0"/>
        <v>-0.15791545411380437</v>
      </c>
      <c r="AM47" s="5">
        <f t="shared" si="23"/>
        <v>263.84080427461373</v>
      </c>
      <c r="AN47" s="26">
        <f>0.12*(SQRT(AM47)-SQRT(B13))</f>
        <v>-0.0299094410097895</v>
      </c>
      <c r="AO47" s="4">
        <f t="shared" si="10"/>
        <v>1.5357846397092654</v>
      </c>
      <c r="AP47" s="21">
        <v>0</v>
      </c>
      <c r="AQ47" s="21">
        <f t="shared" si="11"/>
        <v>19.78</v>
      </c>
      <c r="AR47" s="21">
        <f t="shared" si="12"/>
        <v>3.0100000000000002</v>
      </c>
      <c r="AS47" s="35">
        <f t="shared" si="13"/>
        <v>0.17497430562843516</v>
      </c>
      <c r="AT47" s="36">
        <f>-0.32*LN(AF47/AF254)+0.0042*(AI47-AI254)-0.000105*(AQ47-AQ254)-0.000315*(AR47-AR254)</f>
        <v>0.429041416372733</v>
      </c>
      <c r="AU47" s="4">
        <f>AU254+5*LN(AF47/AF254)+0.125*(AP47-AP254)+0.0011*(AQ47-AQ254)+0.0033*(AR47-AR254)</f>
        <v>24.12931090042605</v>
      </c>
      <c r="AV47" s="4">
        <f>0.042*(AU47-B14)</f>
        <v>-0.03656894218210596</v>
      </c>
      <c r="AW47" s="4">
        <f>0.05*0.036*(SQRT(AF47)-SQRT(B12))</f>
        <v>-0.0020385871400368186</v>
      </c>
      <c r="AX47" s="21">
        <v>0</v>
      </c>
      <c r="AY47" s="36">
        <f>-0.4*(AX47/AX254)</f>
        <v>0</v>
      </c>
      <c r="AZ47" s="36">
        <f>-0.8*LN((B15+AX47)/B15)*(LN((B15+AX254)/B15))^-1</f>
        <v>0</v>
      </c>
      <c r="BA47" s="36">
        <f>-0.1*(AQ47/AQ254)</f>
        <v>-0.0022735632183908047</v>
      </c>
      <c r="BB47" s="6">
        <f t="shared" si="14"/>
        <v>-0.10962161410650845</v>
      </c>
      <c r="BC47" s="6">
        <f t="shared" si="24"/>
        <v>0.00270765108518424</v>
      </c>
      <c r="BD47" s="4">
        <f t="shared" si="15"/>
        <v>0.8556625944421272</v>
      </c>
      <c r="BE47" s="4">
        <f>SUMPRODUCT(BC$4:BC47,$BD$311:BD$354)</f>
        <v>-0.07860284800986647</v>
      </c>
      <c r="BF47" s="23">
        <f>BE47*B7</f>
        <v>-0.07860284800986647</v>
      </c>
      <c r="BG47" s="48"/>
    </row>
    <row r="48" spans="5:59" ht="15">
      <c r="E48" s="1">
        <f t="shared" si="16"/>
        <v>44</v>
      </c>
      <c r="F48" s="1">
        <f t="shared" si="1"/>
        <v>1794</v>
      </c>
      <c r="G48" s="3">
        <v>0</v>
      </c>
      <c r="H48" s="3">
        <f t="shared" si="17"/>
        <v>0.03519999999999999</v>
      </c>
      <c r="I48" s="5">
        <f t="shared" si="18"/>
        <v>0.002733307657414793</v>
      </c>
      <c r="J48" s="5">
        <f t="shared" si="19"/>
        <v>0.016316028738826285</v>
      </c>
      <c r="K48" s="4">
        <f t="shared" si="2"/>
        <v>0.01615066360375891</v>
      </c>
      <c r="L48" s="4">
        <f t="shared" si="3"/>
        <v>0.00013749182854759563</v>
      </c>
      <c r="M48" s="4">
        <f>60*B8*LN(U48/U4)</f>
        <v>0.007195814187335542</v>
      </c>
      <c r="N48" s="4">
        <f t="shared" si="20"/>
        <v>9.893656505054946E-07</v>
      </c>
      <c r="O48" s="4">
        <f>SUMPRODUCT($M$4:M48,L$310:$L$354)</f>
        <v>0.0013930020306439355</v>
      </c>
      <c r="P48" s="4">
        <f t="shared" si="21"/>
        <v>0.005802812156691607</v>
      </c>
      <c r="Q48" s="4">
        <f>(B5/(B4*B6))*W47</f>
        <v>0.6903690380055604</v>
      </c>
      <c r="R48" s="4">
        <f>(1.558-1.399*B3*0.01)*Q48+(7.4706-0.20207*B3)*0.001*Q48^2-(1.2748-0.12015*B3)*0.00001*Q48^3+(2.4491-0.12639*B3)*0.0000001*Q48^4-(1.5468-0.15326*B3)*0.0000000001*Q48^5</f>
        <v>0.901625325692697</v>
      </c>
      <c r="S48" s="4">
        <f t="shared" si="27"/>
        <v>0.032899316663812156</v>
      </c>
      <c r="T48" s="5">
        <f>(T4+R48)*EXP(0.0423*BF47)</f>
        <v>279.9692063385466</v>
      </c>
      <c r="U48" s="4">
        <f t="shared" si="25"/>
        <v>280.11702955892036</v>
      </c>
      <c r="V48" s="4">
        <f t="shared" si="4"/>
        <v>0.0005367861961745056</v>
      </c>
      <c r="W48" s="4">
        <f>SUMPRODUCT($J$4:J48,$S$310:S$354)</f>
        <v>0.10988839255321833</v>
      </c>
      <c r="X48" s="6">
        <f>5.35*LN(U48/U4)</f>
        <v>0.002235633327656513</v>
      </c>
      <c r="Y48" s="4">
        <f t="shared" si="5"/>
        <v>1794</v>
      </c>
      <c r="Z48" s="4">
        <f t="shared" si="22"/>
        <v>44</v>
      </c>
      <c r="AA48" s="21">
        <f t="shared" si="6"/>
        <v>16.28</v>
      </c>
      <c r="AB48" s="6">
        <f>AA48+B16</f>
        <v>122.6153745</v>
      </c>
      <c r="AC48" s="24">
        <f t="shared" si="26"/>
        <v>119.65011674535332</v>
      </c>
      <c r="AD48" s="4">
        <f t="shared" si="29"/>
        <v>5.7227383749158625</v>
      </c>
      <c r="AE48" s="4">
        <f t="shared" si="8"/>
        <v>2.965257754646686</v>
      </c>
      <c r="AF48" s="6">
        <f t="shared" si="30"/>
        <v>684.7263146617964</v>
      </c>
      <c r="AG48" s="30">
        <f>0.036*(SQRT(AF48)-SQRT(B12))</f>
        <v>-0.0387385980217885</v>
      </c>
      <c r="AH48" s="27">
        <v>0</v>
      </c>
      <c r="AI48" s="47">
        <f>AH48+B17</f>
        <v>1.975</v>
      </c>
      <c r="AJ48" s="4">
        <f t="shared" si="9"/>
        <v>2.131638849786249</v>
      </c>
      <c r="AK48" s="4">
        <f>120*(AI48/AI254)^-0.055</f>
        <v>123.69960739219069</v>
      </c>
      <c r="AL48" s="4">
        <f t="shared" si="0"/>
        <v>-0.15663884978624898</v>
      </c>
      <c r="AM48" s="5">
        <f t="shared" si="23"/>
        <v>263.68288882049995</v>
      </c>
      <c r="AN48" s="26">
        <f>0.12*(SQRT(AM48)-SQRT(B13))</f>
        <v>-0.030492845680189475</v>
      </c>
      <c r="AO48" s="4">
        <f t="shared" si="10"/>
        <v>1.5335545497141607</v>
      </c>
      <c r="AP48" s="21">
        <v>0</v>
      </c>
      <c r="AQ48" s="21">
        <f t="shared" si="11"/>
        <v>20.240000000000002</v>
      </c>
      <c r="AR48" s="21">
        <f t="shared" si="12"/>
        <v>3.08</v>
      </c>
      <c r="AS48" s="35">
        <f t="shared" si="13"/>
        <v>0.17474151961642007</v>
      </c>
      <c r="AT48" s="36">
        <f>-0.32*LN(AF48/AF254)+0.0042*(AI48-AI254)-0.000105*(AQ48-AQ254)-0.000315*(AR48-AR254)</f>
        <v>0.42758827597351357</v>
      </c>
      <c r="AU48" s="4">
        <f>AU254+5*LN(AF48/AF254)+0.125*(AP48-AP254)+0.0011*(AQ48-AQ254)+0.0033*(AR48-AR254)</f>
        <v>24.15165400041385</v>
      </c>
      <c r="AV48" s="4">
        <f>0.042*(AU48-B14)</f>
        <v>-0.03563053198261834</v>
      </c>
      <c r="AW48" s="4">
        <f>0.05*0.036*(SQRT(AF48)-SQRT(B12))</f>
        <v>-0.0019369299010894253</v>
      </c>
      <c r="AX48" s="21">
        <v>0</v>
      </c>
      <c r="AY48" s="36">
        <f>-0.4*(AX48/AX254)</f>
        <v>0</v>
      </c>
      <c r="AZ48" s="36">
        <f>-0.8*LN((B15+AX48)/B15)*(LN((B15+AX254)/B15))^-1</f>
        <v>0</v>
      </c>
      <c r="BA48" s="36">
        <f>-0.1*(AQ48/AQ254)</f>
        <v>-0.0023264367816091956</v>
      </c>
      <c r="BB48" s="6">
        <f t="shared" si="14"/>
        <v>-0.10688970903963843</v>
      </c>
      <c r="BC48" s="6">
        <f t="shared" si="24"/>
        <v>0.0027319050668700162</v>
      </c>
      <c r="BD48" s="4">
        <f t="shared" si="15"/>
        <v>0.8553341818020138</v>
      </c>
      <c r="BE48" s="4">
        <f>SUMPRODUCT(BC$4:BC48,$BD$310:BD$354)</f>
        <v>-0.07784753577257644</v>
      </c>
      <c r="BF48" s="23">
        <f>BE48*B7</f>
        <v>-0.07784753577257644</v>
      </c>
      <c r="BG48" s="48"/>
    </row>
    <row r="49" spans="5:59" ht="15">
      <c r="E49" s="1">
        <f t="shared" si="16"/>
        <v>45</v>
      </c>
      <c r="F49" s="1">
        <f t="shared" si="1"/>
        <v>1795</v>
      </c>
      <c r="G49" s="3">
        <v>0</v>
      </c>
      <c r="H49" s="3">
        <f t="shared" si="17"/>
        <v>0.03599999999999999</v>
      </c>
      <c r="I49" s="5">
        <f t="shared" si="18"/>
        <v>0.002993942940855344</v>
      </c>
      <c r="J49" s="5">
        <f t="shared" si="19"/>
        <v>0.01616077411950523</v>
      </c>
      <c r="K49" s="4">
        <f t="shared" si="2"/>
        <v>0.016845282939639415</v>
      </c>
      <c r="L49" s="4">
        <f t="shared" si="3"/>
        <v>0.00013887376970281456</v>
      </c>
      <c r="M49" s="4">
        <f>60*B8*LN(U49/U4)</f>
        <v>0.008188636403115417</v>
      </c>
      <c r="N49" s="4">
        <f t="shared" si="20"/>
        <v>1.1371868060263341E-06</v>
      </c>
      <c r="O49" s="4">
        <f>SUMPRODUCT($M$4:M49,L$309:$L$354)</f>
        <v>0.0018324955396795206</v>
      </c>
      <c r="P49" s="4">
        <f t="shared" si="21"/>
        <v>0.006356140863435896</v>
      </c>
      <c r="Q49" s="4">
        <f>(B5/(B4*B6))*W48</f>
        <v>0.6969716831552191</v>
      </c>
      <c r="R49" s="4">
        <f>(1.558-1.399*B3*0.01)*Q49+(7.4706-0.20207*B3)*0.001*Q49^2-(1.2748-0.12015*B3)*0.00001*Q49^3+(2.4491-0.12639*B3)*0.0000001*Q49^4-(1.5468-0.15326*B3)*0.0000000001*Q49^5</f>
        <v>0.910265925234944</v>
      </c>
      <c r="S49" s="4">
        <f t="shared" si="27"/>
        <v>0.03294685833953251</v>
      </c>
      <c r="T49" s="5">
        <f>(T4+R49)*EXP(0.0423*BF48)</f>
        <v>279.9867636090014</v>
      </c>
      <c r="U49" s="4">
        <f t="shared" si="25"/>
        <v>280.1331802225241</v>
      </c>
      <c r="V49" s="4">
        <f t="shared" si="4"/>
        <v>0.0005324467355725221</v>
      </c>
      <c r="W49" s="4">
        <f>SUMPRODUCT($J$4:J49,$S$309:S$354)</f>
        <v>0.11089402972737</v>
      </c>
      <c r="X49" s="6">
        <f>5.35*LN(U49/U4)</f>
        <v>0.0025440885456833612</v>
      </c>
      <c r="Y49" s="4">
        <f t="shared" si="5"/>
        <v>1795</v>
      </c>
      <c r="Z49" s="4">
        <f t="shared" si="22"/>
        <v>45</v>
      </c>
      <c r="AA49" s="21">
        <f t="shared" si="6"/>
        <v>16.65</v>
      </c>
      <c r="AB49" s="6">
        <f>AA49+B16</f>
        <v>122.9853745</v>
      </c>
      <c r="AC49" s="24">
        <f t="shared" si="26"/>
        <v>120.00841773862454</v>
      </c>
      <c r="AD49" s="4">
        <f t="shared" si="29"/>
        <v>5.730361131118476</v>
      </c>
      <c r="AE49" s="4">
        <f t="shared" si="8"/>
        <v>2.9769567613754617</v>
      </c>
      <c r="AF49" s="6">
        <f t="shared" si="30"/>
        <v>687.6915724164431</v>
      </c>
      <c r="AG49" s="30">
        <f>0.036*(SQRT(AF49)-SQRT(B12))</f>
        <v>-0.03670105390025249</v>
      </c>
      <c r="AH49" s="27">
        <v>0</v>
      </c>
      <c r="AI49" s="47">
        <f>AH49+B17</f>
        <v>1.975</v>
      </c>
      <c r="AJ49" s="4">
        <f t="shared" si="9"/>
        <v>2.130372565655778</v>
      </c>
      <c r="AK49" s="4">
        <f>120*(AI49/AI254)^-0.055</f>
        <v>123.69960739219069</v>
      </c>
      <c r="AL49" s="4">
        <f t="shared" si="0"/>
        <v>-0.15537256565577806</v>
      </c>
      <c r="AM49" s="5">
        <f t="shared" si="23"/>
        <v>263.5262499707137</v>
      </c>
      <c r="AN49" s="26">
        <f>0.12*(SQRT(AM49)-SQRT(B13))</f>
        <v>-0.031071706657483416</v>
      </c>
      <c r="AO49" s="4">
        <f t="shared" si="10"/>
        <v>1.531327696171763</v>
      </c>
      <c r="AP49" s="21">
        <v>0</v>
      </c>
      <c r="AQ49" s="21">
        <f t="shared" si="11"/>
        <v>20.7</v>
      </c>
      <c r="AR49" s="21">
        <f t="shared" si="12"/>
        <v>3.1500000000000004</v>
      </c>
      <c r="AS49" s="35">
        <f t="shared" si="13"/>
        <v>0.17450907143871677</v>
      </c>
      <c r="AT49" s="36">
        <f>-0.32*LN(AF49/AF254)+0.0042*(AI49-AI254)-0.000105*(AQ49-AQ254)-0.000315*(AR49-AR254)</f>
        <v>0.4261351343807214</v>
      </c>
      <c r="AU49" s="4">
        <f>AU254+5*LN(AF49/AF254)+0.125*(AP49-AP254)+0.0011*(AQ49-AQ254)+0.0033*(AR49-AR254)</f>
        <v>24.17399711905123</v>
      </c>
      <c r="AV49" s="4">
        <f>0.042*(AU49-B14)</f>
        <v>-0.03469212099984837</v>
      </c>
      <c r="AW49" s="4">
        <f>0.05*0.036*(SQRT(AF49)-SQRT(B12))</f>
        <v>-0.0018350526950126245</v>
      </c>
      <c r="AX49" s="21">
        <v>0</v>
      </c>
      <c r="AY49" s="36">
        <f>-0.4*(AX49/AX254)</f>
        <v>0</v>
      </c>
      <c r="AZ49" s="36">
        <f>-0.8*LN((B15+AX49)/B15)*(LN((B15+AX254)/B15))^-1</f>
        <v>0</v>
      </c>
      <c r="BA49" s="36">
        <f>-0.1*(AQ49/AQ254)</f>
        <v>-0.002379310344827586</v>
      </c>
      <c r="BB49" s="6">
        <f t="shared" si="14"/>
        <v>-0.10413515605174112</v>
      </c>
      <c r="BC49" s="6">
        <f t="shared" si="24"/>
        <v>0.002754552987897313</v>
      </c>
      <c r="BD49" s="4">
        <f t="shared" si="15"/>
        <v>0.8550050219187617</v>
      </c>
      <c r="BE49" s="4">
        <f>SUMPRODUCT(BC$4:BC49,$BD$309:BD$354)</f>
        <v>-0.07701435261298932</v>
      </c>
      <c r="BF49" s="23">
        <f>BE49*B7</f>
        <v>-0.07701435261298932</v>
      </c>
      <c r="BG49" s="48"/>
    </row>
    <row r="50" spans="5:59" ht="15">
      <c r="E50" s="1">
        <f t="shared" si="16"/>
        <v>46</v>
      </c>
      <c r="F50" s="1">
        <f t="shared" si="1"/>
        <v>1796</v>
      </c>
      <c r="G50" s="3">
        <v>0</v>
      </c>
      <c r="H50" s="3">
        <f t="shared" si="17"/>
        <v>0.03679999999999999</v>
      </c>
      <c r="I50" s="5">
        <f t="shared" si="18"/>
        <v>0.0032598909229828487</v>
      </c>
      <c r="J50" s="5">
        <f t="shared" si="19"/>
        <v>0.01601256051934301</v>
      </c>
      <c r="K50" s="4">
        <f t="shared" si="2"/>
        <v>0.01752754855767413</v>
      </c>
      <c r="L50" s="4">
        <f t="shared" si="3"/>
        <v>0.00014026960602209974</v>
      </c>
      <c r="M50" s="4">
        <f>60*B8*LN(U50/U4)</f>
        <v>0.009224097646080842</v>
      </c>
      <c r="N50" s="4">
        <f t="shared" si="20"/>
        <v>1.2938605427251373E-06</v>
      </c>
      <c r="O50" s="4">
        <f>SUMPRODUCT($M$4:M50,L$308:$L$354)</f>
        <v>0.0023033492165882535</v>
      </c>
      <c r="P50" s="4">
        <f t="shared" si="21"/>
        <v>0.006920748429492588</v>
      </c>
      <c r="Q50" s="4">
        <f>(B5/(B4*B6))*W49</f>
        <v>0.7033499786023247</v>
      </c>
      <c r="R50" s="4">
        <f>(1.558-1.399*B3*0.01)*Q50+(7.4706-0.20207*B3)*0.001*Q50^2-(1.2748-0.12015*B3)*0.00001*Q50^3+(2.4491-0.12639*B3)*0.0000001*Q50^4-(1.5468-0.15326*B3)*0.0000000001*Q50^5</f>
        <v>0.9186132435314109</v>
      </c>
      <c r="S50" s="4">
        <f t="shared" si="27"/>
        <v>0.0329946719422915</v>
      </c>
      <c r="T50" s="5">
        <f>(T4+R50)*EXP(0.0423*BF49)</f>
        <v>280.0049517071585</v>
      </c>
      <c r="U50" s="4">
        <f t="shared" si="25"/>
        <v>280.15002550546376</v>
      </c>
      <c r="V50" s="4">
        <f t="shared" si="4"/>
        <v>0.0005283291812918114</v>
      </c>
      <c r="W50" s="4">
        <f>SUMPRODUCT($J$4:J50,$S$308:S$354)</f>
        <v>0.1118681353758981</v>
      </c>
      <c r="X50" s="6">
        <f>5.35*LN(U50/U4)</f>
        <v>0.0028657910805187283</v>
      </c>
      <c r="Y50" s="4">
        <f t="shared" si="5"/>
        <v>1796</v>
      </c>
      <c r="Z50" s="4">
        <f t="shared" si="22"/>
        <v>46</v>
      </c>
      <c r="AA50" s="21">
        <f t="shared" si="6"/>
        <v>17.02</v>
      </c>
      <c r="AB50" s="6">
        <f>AA50+B16</f>
        <v>123.3553745</v>
      </c>
      <c r="AC50" s="24">
        <f t="shared" si="26"/>
        <v>120.36767052511861</v>
      </c>
      <c r="AD50" s="4">
        <f t="shared" si="29"/>
        <v>5.737990327175837</v>
      </c>
      <c r="AE50" s="4">
        <f t="shared" si="8"/>
        <v>2.9877039748813843</v>
      </c>
      <c r="AF50" s="6">
        <f t="shared" si="30"/>
        <v>690.6685291778186</v>
      </c>
      <c r="AG50" s="30">
        <f>0.036*(SQRT(AF50)-SQRT(B12))</f>
        <v>-0.034659885030194786</v>
      </c>
      <c r="AH50" s="27">
        <v>0</v>
      </c>
      <c r="AI50" s="47">
        <f>AH50+B17</f>
        <v>1.975</v>
      </c>
      <c r="AJ50" s="4">
        <f t="shared" si="9"/>
        <v>2.1291165182928853</v>
      </c>
      <c r="AK50" s="4">
        <f>120*(AI50/AI254)^-0.055</f>
        <v>123.69960739219069</v>
      </c>
      <c r="AL50" s="4">
        <f t="shared" si="0"/>
        <v>-0.1541165182928852</v>
      </c>
      <c r="AM50" s="5">
        <f t="shared" si="23"/>
        <v>263.3708774050579</v>
      </c>
      <c r="AN50" s="26">
        <f>0.12*(SQRT(AM50)-SQRT(B13))</f>
        <v>-0.03164605804529515</v>
      </c>
      <c r="AO50" s="4">
        <f t="shared" si="10"/>
        <v>1.5291048854620242</v>
      </c>
      <c r="AP50" s="21">
        <v>0</v>
      </c>
      <c r="AQ50" s="21">
        <f t="shared" si="11"/>
        <v>21.16</v>
      </c>
      <c r="AR50" s="21">
        <f t="shared" si="12"/>
        <v>3.22</v>
      </c>
      <c r="AS50" s="35">
        <f t="shared" si="13"/>
        <v>0.17427704526859789</v>
      </c>
      <c r="AT50" s="36">
        <f>-0.32*LN(AF50/AF254)+0.0042*(AI50-AI254)-0.000105*(AQ50-AQ254)-0.000315*(AR50-AR254)</f>
        <v>0.4246825220187058</v>
      </c>
      <c r="AU50" s="4">
        <f>AU254+5*LN(AF50/AF254)+0.125*(AP50-AP254)+0.0011*(AQ50-AQ254)+0.0033*(AR50-AR254)</f>
        <v>24.19633196845772</v>
      </c>
      <c r="AV50" s="4">
        <f>0.042*(AU50-B14)</f>
        <v>-0.03375405732477576</v>
      </c>
      <c r="AW50" s="4">
        <f>0.05*0.036*(SQRT(AF50)-SQRT(B12))</f>
        <v>-0.0017329942515097393</v>
      </c>
      <c r="AX50" s="21">
        <v>0</v>
      </c>
      <c r="AY50" s="36">
        <f>-0.4*(AX50/AX254)</f>
        <v>0</v>
      </c>
      <c r="AZ50" s="36">
        <f>-0.8*LN((B15+AX50)/B15)*(LN((B15+AX254)/B15))^-1</f>
        <v>0</v>
      </c>
      <c r="BA50" s="36">
        <f>-0.1*(AQ50/AQ254)</f>
        <v>-0.002432183908045977</v>
      </c>
      <c r="BB50" s="6">
        <f t="shared" si="14"/>
        <v>-0.10135938747930269</v>
      </c>
      <c r="BC50" s="6">
        <f t="shared" si="24"/>
        <v>0.002775768572438428</v>
      </c>
      <c r="BD50" s="4">
        <f t="shared" si="15"/>
        <v>0.8546751130920188</v>
      </c>
      <c r="BE50" s="4">
        <f>SUMPRODUCT(BC$4:BC50,$BD$308:BD$354)</f>
        <v>-0.07610730479519831</v>
      </c>
      <c r="BF50" s="23">
        <f>BE50*B7</f>
        <v>-0.07610730479519831</v>
      </c>
      <c r="BG50" s="48"/>
    </row>
    <row r="51" spans="5:59" ht="15">
      <c r="E51" s="1">
        <f t="shared" si="16"/>
        <v>47</v>
      </c>
      <c r="F51" s="1">
        <f t="shared" si="1"/>
        <v>1797</v>
      </c>
      <c r="G51" s="3">
        <v>0</v>
      </c>
      <c r="H51" s="3">
        <f t="shared" si="17"/>
        <v>0.037599999999999995</v>
      </c>
      <c r="I51" s="5">
        <f t="shared" si="18"/>
        <v>0.003530809679081942</v>
      </c>
      <c r="J51" s="5">
        <f t="shared" si="19"/>
        <v>0.015871741721921996</v>
      </c>
      <c r="K51" s="4">
        <f t="shared" si="2"/>
        <v>0.01819744859899606</v>
      </c>
      <c r="L51" s="4">
        <f t="shared" si="3"/>
        <v>0.00014167947748356587</v>
      </c>
      <c r="M51" s="4">
        <f>60*B8*LN(U51/U4)</f>
        <v>0.010301430922105977</v>
      </c>
      <c r="N51" s="4">
        <f t="shared" si="20"/>
        <v>1.4595013503770228E-06</v>
      </c>
      <c r="O51" s="4">
        <f>SUMPRODUCT($M$4:M51,L$307:$L$354)</f>
        <v>0.0028055219734150136</v>
      </c>
      <c r="P51" s="4">
        <f t="shared" si="21"/>
        <v>0.007495908948690963</v>
      </c>
      <c r="Q51" s="4">
        <f>(B5/(B4*B6))*W50</f>
        <v>0.7095282840416078</v>
      </c>
      <c r="R51" s="4">
        <f>(1.558-1.399*B3*0.01)*Q51+(7.4706-0.20207*B3)*0.001*Q51^2-(1.2748-0.12015*B3)*0.00001*Q51^3+(2.4491-0.12639*B3)*0.0000001*Q51^4-(1.5468-0.15326*B3)*0.0000000001*Q51^5</f>
        <v>0.9266991293006456</v>
      </c>
      <c r="S51" s="4">
        <f t="shared" si="27"/>
        <v>0.033042759625299525</v>
      </c>
      <c r="T51" s="5">
        <f>(T4+R51)*EXP(0.0423*BF50)</f>
        <v>280.0237550740208</v>
      </c>
      <c r="U51" s="4">
        <f t="shared" si="25"/>
        <v>280.1675530540214</v>
      </c>
      <c r="V51" s="4">
        <f t="shared" si="4"/>
        <v>0.0005244461465523061</v>
      </c>
      <c r="W51" s="4">
        <f>SUMPRODUCT($J$4:J51,$S$307:S$354)</f>
        <v>0.11281433991589915</v>
      </c>
      <c r="X51" s="6">
        <f>5.35*LN(U51/U4)</f>
        <v>0.0032005026384011024</v>
      </c>
      <c r="Y51" s="4">
        <f t="shared" si="5"/>
        <v>1797</v>
      </c>
      <c r="Z51" s="4">
        <f t="shared" si="22"/>
        <v>47</v>
      </c>
      <c r="AA51" s="21">
        <f t="shared" si="6"/>
        <v>17.39</v>
      </c>
      <c r="AB51" s="6">
        <f>AA51+B16</f>
        <v>123.7253745</v>
      </c>
      <c r="AC51" s="24">
        <f t="shared" si="26"/>
        <v>120.72775510332507</v>
      </c>
      <c r="AD51" s="4">
        <f t="shared" si="29"/>
        <v>5.745623552422002</v>
      </c>
      <c r="AE51" s="4">
        <f t="shared" si="8"/>
        <v>2.997619396674935</v>
      </c>
      <c r="AF51" s="6">
        <f t="shared" si="30"/>
        <v>693.6562331527</v>
      </c>
      <c r="AG51" s="30">
        <f>0.036*(SQRT(AF51)-SQRT(B12))</f>
        <v>-0.0326157653149924</v>
      </c>
      <c r="AH51" s="27">
        <v>0</v>
      </c>
      <c r="AI51" s="47">
        <f>AH51+B17</f>
        <v>1.975</v>
      </c>
      <c r="AJ51" s="4">
        <f t="shared" si="9"/>
        <v>2.1278706249425188</v>
      </c>
      <c r="AK51" s="4">
        <f>120*(AI51/AI254)^-0.055</f>
        <v>123.69960739219069</v>
      </c>
      <c r="AL51" s="4">
        <f t="shared" si="0"/>
        <v>-0.15287062494251868</v>
      </c>
      <c r="AM51" s="5">
        <f t="shared" si="23"/>
        <v>263.21676088676503</v>
      </c>
      <c r="AN51" s="26">
        <f>0.12*(SQRT(AM51)-SQRT(B13))</f>
        <v>-0.03221593371044506</v>
      </c>
      <c r="AO51" s="4">
        <f t="shared" si="10"/>
        <v>1.5268868085194793</v>
      </c>
      <c r="AP51" s="21">
        <v>0</v>
      </c>
      <c r="AQ51" s="21">
        <f t="shared" si="11"/>
        <v>21.62</v>
      </c>
      <c r="AR51" s="21">
        <f t="shared" si="12"/>
        <v>3.2900000000000005</v>
      </c>
      <c r="AS51" s="35">
        <f t="shared" si="13"/>
        <v>0.17404551322866627</v>
      </c>
      <c r="AT51" s="36">
        <f>-0.32*LN(AF51/AF254)+0.0042*(AI51-AI254)-0.000105*(AQ51-AQ254)-0.000315*(AR51-AR254)</f>
        <v>0.42323089678267495</v>
      </c>
      <c r="AU51" s="4">
        <f>AU254+5*LN(AF51/AF254)+0.125*(AP51-AP254)+0.0011*(AQ51-AQ254)+0.0033*(AR51-AR254)</f>
        <v>24.218651394020704</v>
      </c>
      <c r="AV51" s="4">
        <f>0.042*(AU51-B14)</f>
        <v>-0.03281664145113045</v>
      </c>
      <c r="AW51" s="4">
        <f>0.05*0.036*(SQRT(AF51)-SQRT(B12))</f>
        <v>-0.00163078826574962</v>
      </c>
      <c r="AX51" s="21">
        <v>0</v>
      </c>
      <c r="AY51" s="36">
        <f>-0.4*(AX51/AX254)</f>
        <v>0</v>
      </c>
      <c r="AZ51" s="36">
        <f>-0.8*LN((B15+AX51)/B15)*(LN((B15+AX254)/B15))^-1</f>
        <v>0</v>
      </c>
      <c r="BA51" s="36">
        <f>-0.1*(AQ51/AQ254)</f>
        <v>-0.0024850574712643684</v>
      </c>
      <c r="BB51" s="6">
        <f t="shared" si="14"/>
        <v>-0.09856368357518079</v>
      </c>
      <c r="BC51" s="6">
        <f t="shared" si="24"/>
        <v>0.002795703904121899</v>
      </c>
      <c r="BD51" s="4">
        <f t="shared" si="15"/>
        <v>0.8543444536175542</v>
      </c>
      <c r="BE51" s="4">
        <f>SUMPRODUCT(BC$4:BC51,$BD$307:BD$354)</f>
        <v>-0.07513019829527877</v>
      </c>
      <c r="BF51" s="23">
        <f>BE51*B7</f>
        <v>-0.07513019829527877</v>
      </c>
      <c r="BG51" s="48"/>
    </row>
    <row r="52" spans="5:59" ht="15">
      <c r="E52" s="1">
        <f t="shared" si="16"/>
        <v>48</v>
      </c>
      <c r="F52" s="1">
        <f t="shared" si="1"/>
        <v>1798</v>
      </c>
      <c r="G52" s="3">
        <v>0</v>
      </c>
      <c r="H52" s="3">
        <f t="shared" si="17"/>
        <v>0.0384</v>
      </c>
      <c r="I52" s="5">
        <f t="shared" si="18"/>
        <v>0.0038063734810632284</v>
      </c>
      <c r="J52" s="5">
        <f t="shared" si="19"/>
        <v>0.015738600260974473</v>
      </c>
      <c r="K52" s="4">
        <f t="shared" si="2"/>
        <v>0.018855026257962298</v>
      </c>
      <c r="L52" s="4">
        <f t="shared" si="3"/>
        <v>0.00014310352548901916</v>
      </c>
      <c r="M52" s="4">
        <f>60*B8*LN(U52/U4)</f>
        <v>0.011419868390021732</v>
      </c>
      <c r="N52" s="4">
        <f t="shared" si="20"/>
        <v>1.634223427232719E-06</v>
      </c>
      <c r="O52" s="4">
        <f>SUMPRODUCT($M$4:M52,L$306:$L$354)</f>
        <v>0.003338937489724497</v>
      </c>
      <c r="P52" s="4">
        <f t="shared" si="21"/>
        <v>0.008080930900297234</v>
      </c>
      <c r="Q52" s="4">
        <f>(B5/(B4*B6))*W51</f>
        <v>0.715529625543935</v>
      </c>
      <c r="R52" s="4">
        <f>(1.558-1.399*B3*0.01)*Q52+(7.4706-0.20207*B3)*0.001*Q52^2-(1.2748-0.12015*B3)*0.00001*Q52^3+(2.4491-0.12639*B3)*0.0000001*Q52^4-(1.5468-0.15326*B3)*0.0000000001*Q52^5</f>
        <v>0.9345536913633531</v>
      </c>
      <c r="S52" s="4">
        <f t="shared" si="27"/>
        <v>0.033091123565459596</v>
      </c>
      <c r="T52" s="5">
        <f>(T4+R52)*EXP(0.0423*BF51)</f>
        <v>280.043158784256</v>
      </c>
      <c r="U52" s="4">
        <f t="shared" si="25"/>
        <v>280.1857505026204</v>
      </c>
      <c r="V52" s="4">
        <f t="shared" si="4"/>
        <v>0.000520807965983281</v>
      </c>
      <c r="W52" s="4">
        <f>SUMPRODUCT($J$4:J52,$S$306:S$354)</f>
        <v>0.11373606968389623</v>
      </c>
      <c r="X52" s="6">
        <f>5.35*LN(U52/U4)</f>
        <v>0.0035479846624051257</v>
      </c>
      <c r="Y52" s="4">
        <f t="shared" si="5"/>
        <v>1798</v>
      </c>
      <c r="Z52" s="4">
        <f t="shared" si="22"/>
        <v>48</v>
      </c>
      <c r="AA52" s="21">
        <f t="shared" si="6"/>
        <v>17.759999999999998</v>
      </c>
      <c r="AB52" s="6">
        <f>AA52+B16</f>
        <v>124.09537449999999</v>
      </c>
      <c r="AC52" s="24">
        <f t="shared" si="26"/>
        <v>121.08856683105827</v>
      </c>
      <c r="AD52" s="4">
        <f t="shared" si="29"/>
        <v>5.753258716170458</v>
      </c>
      <c r="AE52" s="4">
        <f t="shared" si="8"/>
        <v>3.0068076689417182</v>
      </c>
      <c r="AF52" s="6">
        <f t="shared" si="30"/>
        <v>696.653852549375</v>
      </c>
      <c r="AG52" s="30">
        <f>0.036*(SQRT(AF52)-SQRT(B12))</f>
        <v>-0.03056928105398836</v>
      </c>
      <c r="AH52" s="27">
        <v>0</v>
      </c>
      <c r="AI52" s="47">
        <f>AH52+B17</f>
        <v>1.975</v>
      </c>
      <c r="AJ52" s="4">
        <f t="shared" si="9"/>
        <v>2.126634803518625</v>
      </c>
      <c r="AK52" s="4">
        <f>120*(AI52/AI254)^-0.055</f>
        <v>123.69960739219069</v>
      </c>
      <c r="AL52" s="4">
        <f t="shared" si="0"/>
        <v>-0.15163480351862502</v>
      </c>
      <c r="AM52" s="5">
        <f t="shared" si="23"/>
        <v>263.0638902618225</v>
      </c>
      <c r="AN52" s="26">
        <f>0.12*(SQRT(AM52)-SQRT(B13))</f>
        <v>-0.03278136728431562</v>
      </c>
      <c r="AO52" s="4">
        <f t="shared" si="10"/>
        <v>1.5246740562615406</v>
      </c>
      <c r="AP52" s="21">
        <v>0</v>
      </c>
      <c r="AQ52" s="21">
        <f t="shared" si="11"/>
        <v>22.080000000000002</v>
      </c>
      <c r="AR52" s="21">
        <f t="shared" si="12"/>
        <v>3.3600000000000003</v>
      </c>
      <c r="AS52" s="35">
        <f t="shared" si="13"/>
        <v>0.17381453700132402</v>
      </c>
      <c r="AT52" s="36">
        <f>-0.32*LN(AF52/AF254)+0.0042*(AI52-AI254)-0.000105*(AQ52-AQ254)-0.000315*(AR52-AR254)</f>
        <v>0.42178065361610434</v>
      </c>
      <c r="AU52" s="4">
        <f>AU254+5*LN(AF52/AF254)+0.125*(AP52-AP254)+0.0011*(AQ52-AQ254)+0.0033*(AR52-AR254)</f>
        <v>24.24094922474837</v>
      </c>
      <c r="AV52" s="4">
        <f>0.042*(AU52-B14)</f>
        <v>-0.03188013256056847</v>
      </c>
      <c r="AW52" s="4">
        <f>0.05*0.036*(SQRT(AF52)-SQRT(B12))</f>
        <v>-0.0015284640526994182</v>
      </c>
      <c r="AX52" s="21">
        <v>0</v>
      </c>
      <c r="AY52" s="36">
        <f>-0.4*(AX52/AX254)</f>
        <v>0</v>
      </c>
      <c r="AZ52" s="36">
        <f>-0.8*LN((B15+AX52)/B15)*(LN((B15+AX254)/B15))^-1</f>
        <v>0</v>
      </c>
      <c r="BA52" s="36">
        <f>-0.1*(AQ52/AQ254)</f>
        <v>-0.002537931034482759</v>
      </c>
      <c r="BB52" s="6">
        <f t="shared" si="14"/>
        <v>-0.09574919132364951</v>
      </c>
      <c r="BC52" s="6">
        <f t="shared" si="24"/>
        <v>0.0028144922515312837</v>
      </c>
      <c r="BD52" s="4">
        <f t="shared" si="15"/>
        <v>0.8540130417872482</v>
      </c>
      <c r="BE52" s="4">
        <f>SUMPRODUCT(BC$4:BC52,$BD$306:BD$354)</f>
        <v>-0.07408664495664548</v>
      </c>
      <c r="BF52" s="23">
        <f>BE52*B7</f>
        <v>-0.07408664495664548</v>
      </c>
      <c r="BG52" s="48"/>
    </row>
    <row r="53" spans="5:59" ht="15">
      <c r="E53" s="1">
        <f t="shared" si="16"/>
        <v>49</v>
      </c>
      <c r="F53" s="1">
        <f t="shared" si="1"/>
        <v>1799</v>
      </c>
      <c r="G53" s="3">
        <v>0</v>
      </c>
      <c r="H53" s="3">
        <f t="shared" si="17"/>
        <v>0.0392</v>
      </c>
      <c r="I53" s="5">
        <f t="shared" si="18"/>
        <v>0.004086272469907726</v>
      </c>
      <c r="J53" s="5">
        <f t="shared" si="19"/>
        <v>0.015613355921868084</v>
      </c>
      <c r="K53" s="4">
        <f t="shared" si="2"/>
        <v>0.01950037160822419</v>
      </c>
      <c r="L53" s="4">
        <f t="shared" si="3"/>
        <v>0.00014454189287913227</v>
      </c>
      <c r="M53" s="4">
        <f>60*B8*LN(U53/U4)</f>
        <v>0.012578644763634456</v>
      </c>
      <c r="N53" s="4">
        <f t="shared" si="20"/>
        <v>1.8181411239899096E-06</v>
      </c>
      <c r="O53" s="4">
        <f>SUMPRODUCT($M$4:M53,L$305:$L$354)</f>
        <v>0.003903488310020353</v>
      </c>
      <c r="P53" s="4">
        <f t="shared" si="21"/>
        <v>0.008675156453614103</v>
      </c>
      <c r="Q53" s="4">
        <f>(B5/(B4*B6))*W52</f>
        <v>0.7213757347906788</v>
      </c>
      <c r="R53" s="4">
        <f>(1.558-1.399*B3*0.01)*Q53+(7.4706-0.20207*B3)*0.001*Q53^2-(1.2748-0.12015*B3)*0.00001*Q53^3+(2.4491-0.12639*B3)*0.0000001*Q53^4-(1.5468-0.15326*B3)*0.0000000001*Q53^5</f>
        <v>0.9422053493495116</v>
      </c>
      <c r="S53" s="4">
        <f t="shared" si="27"/>
        <v>0.033139765963682816</v>
      </c>
      <c r="T53" s="5">
        <f>(T4+R53)*EXP(0.0423*BF52)</f>
        <v>280.0631485242262</v>
      </c>
      <c r="U53" s="4">
        <f t="shared" si="25"/>
        <v>280.20460552887835</v>
      </c>
      <c r="V53" s="4">
        <f t="shared" si="4"/>
        <v>0.0005174229611583894</v>
      </c>
      <c r="W53" s="4">
        <f>SUMPRODUCT($J$4:J53,$S$305:S$354)</f>
        <v>0.11463655437911002</v>
      </c>
      <c r="X53" s="6">
        <f>5.35*LN(U53/U4)</f>
        <v>0.003907999389398626</v>
      </c>
      <c r="Y53" s="4">
        <f t="shared" si="5"/>
        <v>1799</v>
      </c>
      <c r="Z53" s="4">
        <f t="shared" si="22"/>
        <v>49</v>
      </c>
      <c r="AA53" s="21">
        <f t="shared" si="6"/>
        <v>18.13</v>
      </c>
      <c r="AB53" s="6">
        <f>AA53+B16</f>
        <v>124.4653745</v>
      </c>
      <c r="AC53" s="24">
        <f t="shared" si="26"/>
        <v>121.45001444294518</v>
      </c>
      <c r="AD53" s="4">
        <f t="shared" si="29"/>
        <v>5.760894005879296</v>
      </c>
      <c r="AE53" s="4">
        <f t="shared" si="8"/>
        <v>3.0153600570548207</v>
      </c>
      <c r="AF53" s="6">
        <f t="shared" si="30"/>
        <v>699.6606602183167</v>
      </c>
      <c r="AG53" s="30">
        <f>0.036*(SQRT(AF53)-SQRT(B12))</f>
        <v>-0.028520942318168308</v>
      </c>
      <c r="AH53" s="27">
        <v>0</v>
      </c>
      <c r="AI53" s="47">
        <f>AH53+B17</f>
        <v>1.975</v>
      </c>
      <c r="AJ53" s="4">
        <f t="shared" si="9"/>
        <v>2.125408972598743</v>
      </c>
      <c r="AK53" s="4">
        <f>120*(AI53/AI254)^-0.055</f>
        <v>123.69960739219069</v>
      </c>
      <c r="AL53" s="4">
        <f t="shared" si="0"/>
        <v>-0.15040897259874297</v>
      </c>
      <c r="AM53" s="5">
        <f t="shared" si="23"/>
        <v>262.9122554583039</v>
      </c>
      <c r="AN53" s="26">
        <f>0.12*(SQRT(AM53)-SQRT(B13))</f>
        <v>-0.03334239216421096</v>
      </c>
      <c r="AO53" s="4">
        <f t="shared" si="10"/>
        <v>1.522467132957971</v>
      </c>
      <c r="AP53" s="21">
        <v>0</v>
      </c>
      <c r="AQ53" s="21">
        <f t="shared" si="11"/>
        <v>22.540000000000003</v>
      </c>
      <c r="AR53" s="21">
        <f t="shared" si="12"/>
        <v>3.43</v>
      </c>
      <c r="AS53" s="35">
        <f t="shared" si="13"/>
        <v>0.17358416922433348</v>
      </c>
      <c r="AT53" s="36">
        <f>-0.32*LN(AF53/AF254)+0.0042*(AI53-AI254)-0.000105*(AQ53-AQ254)-0.000315*(AR53-AR254)</f>
        <v>0.4203321328207699</v>
      </c>
      <c r="AU53" s="4">
        <f>AU254+5*LN(AF53/AF254)+0.125*(AP53-AP254)+0.0011*(AQ53-AQ254)+0.0033*(AR53-AR254)</f>
        <v>24.263220143425468</v>
      </c>
      <c r="AV53" s="4">
        <f>0.042*(AU53-B14)</f>
        <v>-0.030944753976130366</v>
      </c>
      <c r="AW53" s="4">
        <f>0.05*0.036*(SQRT(AF53)-SQRT(B12))</f>
        <v>-0.0014260471159084154</v>
      </c>
      <c r="AX53" s="21">
        <v>0</v>
      </c>
      <c r="AY53" s="36">
        <f>-0.4*(AX53/AX254)</f>
        <v>0</v>
      </c>
      <c r="AZ53" s="36">
        <f>-0.8*LN((B15+AX53)/B15)*(LN((B15+AX254)/B15))^-1</f>
        <v>0</v>
      </c>
      <c r="BA53" s="36">
        <f>-0.1*(AQ53/AQ254)</f>
        <v>-0.00259080459770115</v>
      </c>
      <c r="BB53" s="6">
        <f t="shared" si="14"/>
        <v>-0.09291694078272057</v>
      </c>
      <c r="BC53" s="6">
        <f t="shared" si="24"/>
        <v>0.002832250540928935</v>
      </c>
      <c r="BD53" s="4">
        <f t="shared" si="15"/>
        <v>0.8536808758890831</v>
      </c>
      <c r="BE53" s="4">
        <f>SUMPRODUCT(BC$4:BC53,$BD$305:BD$354)</f>
        <v>-0.07298006913442176</v>
      </c>
      <c r="BF53" s="23">
        <f>BE53*B7</f>
        <v>-0.07298006913442176</v>
      </c>
      <c r="BG53" s="48"/>
    </row>
    <row r="54" spans="5:59" ht="15">
      <c r="E54" s="1">
        <f t="shared" si="16"/>
        <v>50</v>
      </c>
      <c r="F54" s="1">
        <f t="shared" si="1"/>
        <v>1800</v>
      </c>
      <c r="G54" s="3">
        <v>0</v>
      </c>
      <c r="H54" s="3">
        <f t="shared" si="17"/>
        <v>0.04</v>
      </c>
      <c r="I54" s="5">
        <f t="shared" si="18"/>
        <v>0.004370212258298441</v>
      </c>
      <c r="J54" s="5">
        <f t="shared" si="19"/>
        <v>0.015496172828079077</v>
      </c>
      <c r="K54" s="4">
        <f t="shared" si="2"/>
        <v>0.02013361491362248</v>
      </c>
      <c r="L54" s="4">
        <f t="shared" si="3"/>
        <v>0.00014599472394881464</v>
      </c>
      <c r="M54" s="4">
        <f>60*B8*LN(U54/U4)</f>
        <v>0.013777000209674166</v>
      </c>
      <c r="N54" s="4">
        <f t="shared" si="20"/>
        <v>2.0113693424541413E-06</v>
      </c>
      <c r="O54" s="4">
        <f>SUMPRODUCT($M$4:M54,L$304:$L$354)</f>
        <v>0.004499039585306576</v>
      </c>
      <c r="P54" s="4">
        <f t="shared" si="21"/>
        <v>0.00927796062436759</v>
      </c>
      <c r="Q54" s="4">
        <f>(B5/(B4*B6))*W53</f>
        <v>0.7270870962829741</v>
      </c>
      <c r="R54" s="4">
        <f>(1.558-1.399*B3*0.01)*Q54+(7.4706-0.20207*B3)*0.001*Q54^2-(1.2748-0.12015*B3)*0.00001*Q54^3+(2.4491-0.12639*B3)*0.0000001*Q54^4-(1.5468-0.15326*B3)*0.0000000001*Q54^5</f>
        <v>0.9496808949192495</v>
      </c>
      <c r="S54" s="4">
        <f t="shared" si="27"/>
        <v>0.033188689045208525</v>
      </c>
      <c r="T54" s="5">
        <f>(T4+R54)*EXP(0.0423*BF53)</f>
        <v>280.08371057466417</v>
      </c>
      <c r="U54" s="4">
        <f t="shared" si="25"/>
        <v>280.22410590048656</v>
      </c>
      <c r="V54" s="4">
        <f t="shared" si="4"/>
        <v>0.000514297661381926</v>
      </c>
      <c r="W54" s="4">
        <f>SUMPRODUCT($J$4:J54,$S$304:S$354)</f>
        <v>0.1155188344635848</v>
      </c>
      <c r="X54" s="6">
        <f>5.35*LN(U54/U4)</f>
        <v>0.00428031075039238</v>
      </c>
      <c r="Y54" s="4">
        <f t="shared" si="5"/>
        <v>1800</v>
      </c>
      <c r="Z54" s="4">
        <f t="shared" si="22"/>
        <v>50</v>
      </c>
      <c r="AA54" s="21">
        <f t="shared" si="6"/>
        <v>18.5</v>
      </c>
      <c r="AB54" s="6">
        <f>AA54+B16</f>
        <v>124.8353745</v>
      </c>
      <c r="AC54" s="24">
        <f t="shared" si="26"/>
        <v>121.81201832568884</v>
      </c>
      <c r="AD54" s="4">
        <f t="shared" si="29"/>
        <v>5.768527850812113</v>
      </c>
      <c r="AE54" s="4">
        <f t="shared" si="8"/>
        <v>3.0233561743111608</v>
      </c>
      <c r="AF54" s="6">
        <f t="shared" si="30"/>
        <v>702.6760202753716</v>
      </c>
      <c r="AG54" s="30">
        <f>0.036*(SQRT(AF54)-SQRT(B12))</f>
        <v>-0.026471192839426092</v>
      </c>
      <c r="AH54" s="27">
        <v>0</v>
      </c>
      <c r="AI54" s="47">
        <f>AH54+B17</f>
        <v>1.975</v>
      </c>
      <c r="AJ54" s="4">
        <f t="shared" si="9"/>
        <v>2.1241930514186387</v>
      </c>
      <c r="AK54" s="4">
        <f>120*(AI54/AI254)^-0.055</f>
        <v>123.69960739219069</v>
      </c>
      <c r="AL54" s="4">
        <f t="shared" si="0"/>
        <v>-0.1491930514186386</v>
      </c>
      <c r="AM54" s="5">
        <f t="shared" si="23"/>
        <v>262.7618464857051</v>
      </c>
      <c r="AN54" s="26">
        <f>0.12*(SQRT(AM54)-SQRT(B13))</f>
        <v>-0.03389904151471214</v>
      </c>
      <c r="AO54" s="4">
        <f t="shared" si="10"/>
        <v>1.5202664678160243</v>
      </c>
      <c r="AP54" s="21">
        <v>0</v>
      </c>
      <c r="AQ54" s="21">
        <f t="shared" si="11"/>
        <v>23</v>
      </c>
      <c r="AR54" s="21">
        <f t="shared" si="12"/>
        <v>3.5000000000000004</v>
      </c>
      <c r="AS54" s="35">
        <f t="shared" si="13"/>
        <v>0.1733544547001219</v>
      </c>
      <c r="AT54" s="36">
        <f>-0.32*LN(AF54/AF254)+0.0042*(AI54-AI254)-0.000105*(AQ54-AQ254)-0.000315*(AR54-AR254)</f>
        <v>0.41888562726727313</v>
      </c>
      <c r="AU54" s="4">
        <f>AU254+5*LN(AF54/AF254)+0.125*(AP54-AP254)+0.0011*(AQ54-AQ254)+0.0033*(AR54-AR254)</f>
        <v>24.28545957394886</v>
      </c>
      <c r="AV54" s="4">
        <f>0.042*(AU54-B14)</f>
        <v>-0.030010697894147904</v>
      </c>
      <c r="AW54" s="4">
        <f>0.05*0.036*(SQRT(AF54)-SQRT(B12))</f>
        <v>-0.0013235596419713047</v>
      </c>
      <c r="AX54" s="21">
        <v>0</v>
      </c>
      <c r="AY54" s="36">
        <f>-0.4*(AX54/AX254)</f>
        <v>0</v>
      </c>
      <c r="AZ54" s="36">
        <f>-0.8*LN((B15+AX54)/B15)*(LN((B15+AX254)/B15))^-1</f>
        <v>0</v>
      </c>
      <c r="BA54" s="36">
        <f>-0.1*(AQ54/AQ254)</f>
        <v>-0.0026436781609195403</v>
      </c>
      <c r="BB54" s="6">
        <f t="shared" si="14"/>
        <v>-0.09006785930078459</v>
      </c>
      <c r="BC54" s="6">
        <f t="shared" si="24"/>
        <v>0.0028490814819359805</v>
      </c>
      <c r="BD54" s="4">
        <f t="shared" si="15"/>
        <v>0.8533479542071336</v>
      </c>
      <c r="BE54" s="4">
        <f>SUMPRODUCT(BC$4:BC54,$BD$304:BD$354)</f>
        <v>-0.0718137146774217</v>
      </c>
      <c r="BF54" s="23">
        <f>BE54*B7</f>
        <v>-0.0718137146774217</v>
      </c>
      <c r="BG54" s="48"/>
    </row>
    <row r="55" spans="5:59" ht="15">
      <c r="E55" s="1">
        <f t="shared" si="16"/>
        <v>51</v>
      </c>
      <c r="F55" s="1">
        <f t="shared" si="1"/>
        <v>1801</v>
      </c>
      <c r="G55" s="3">
        <v>0</v>
      </c>
      <c r="H55" s="3">
        <f>H54+0.001</f>
        <v>0.041</v>
      </c>
      <c r="I55" s="5">
        <f t="shared" si="18"/>
        <v>0.004657913495704541</v>
      </c>
      <c r="J55" s="5">
        <f t="shared" si="19"/>
        <v>0.015387166266675252</v>
      </c>
      <c r="K55" s="4">
        <f t="shared" si="2"/>
        <v>0.02095492023762021</v>
      </c>
      <c r="L55" s="4">
        <f t="shared" si="3"/>
        <v>0.0001474621644627855</v>
      </c>
      <c r="M55" s="4">
        <f>60*B8*LN(U55/U4)</f>
        <v>0.015014182833087046</v>
      </c>
      <c r="N55" s="4">
        <f t="shared" si="20"/>
        <v>2.2140238982070127E-06</v>
      </c>
      <c r="O55" s="4">
        <f>SUMPRODUCT($M$4:M55,L$303:$L$354)</f>
        <v>0.005125432481706304</v>
      </c>
      <c r="P55" s="4">
        <f t="shared" si="21"/>
        <v>0.009888750351380742</v>
      </c>
      <c r="Q55" s="4">
        <f>(B5/(B4*B6))*W54</f>
        <v>0.7326829942773224</v>
      </c>
      <c r="R55" s="4">
        <f>(1.558-1.399*B3*0.01)*Q55+(7.4706-0.20207*B3)*0.001*Q55^2-(1.2748-0.12015*B3)*0.00001*Q55^3+(2.4491-0.12639*B3)*0.0000001*Q55^4-(1.5468-0.15326*B3)*0.0000000001*Q55^5</f>
        <v>0.9570055526944876</v>
      </c>
      <c r="S55" s="4">
        <f t="shared" si="27"/>
        <v>0.033237895059929135</v>
      </c>
      <c r="T55" s="5">
        <f>(T4+R55)*EXP(0.0423*BF54)</f>
        <v>280.1048317890241</v>
      </c>
      <c r="U55" s="4">
        <f t="shared" si="25"/>
        <v>280.2442395154002</v>
      </c>
      <c r="V55" s="4">
        <f t="shared" si="4"/>
        <v>0.0005114370176414336</v>
      </c>
      <c r="W55" s="4">
        <f>SUMPRODUCT($J$4:J55,$S$303:S$354)</f>
        <v>0.11638576914052107</v>
      </c>
      <c r="X55" s="6">
        <f>5.35*LN(U55/U4)</f>
        <v>0.004664685142683839</v>
      </c>
      <c r="Y55" s="4">
        <f t="shared" si="5"/>
        <v>1801</v>
      </c>
      <c r="Z55" s="4">
        <f t="shared" si="22"/>
        <v>51</v>
      </c>
      <c r="AA55" s="21">
        <f t="shared" si="6"/>
        <v>18.87</v>
      </c>
      <c r="AB55" s="6">
        <f>AA55+B16</f>
        <v>125.2053745</v>
      </c>
      <c r="AC55" s="24">
        <f t="shared" si="26"/>
        <v>122.17356967445208</v>
      </c>
      <c r="AD55" s="4">
        <f t="shared" si="29"/>
        <v>5.776203301009487</v>
      </c>
      <c r="AE55" s="4">
        <f t="shared" si="8"/>
        <v>3.0318048255479226</v>
      </c>
      <c r="AF55" s="6">
        <f t="shared" si="30"/>
        <v>705.6993764496827</v>
      </c>
      <c r="AG55" s="30">
        <f>0.036*(SQRT(AF55)-SQRT(B12))</f>
        <v>-0.024420418608528362</v>
      </c>
      <c r="AH55" s="27">
        <v>0</v>
      </c>
      <c r="AI55" s="47">
        <f>AH55+B17</f>
        <v>1.975</v>
      </c>
      <c r="AJ55" s="4">
        <f t="shared" si="9"/>
        <v>2.1229869598669846</v>
      </c>
      <c r="AK55" s="4">
        <f>120*(AI55/AI254)^-0.055</f>
        <v>123.69960739219069</v>
      </c>
      <c r="AL55" s="4">
        <f t="shared" si="0"/>
        <v>-0.1479869598669845</v>
      </c>
      <c r="AM55" s="5">
        <f t="shared" si="23"/>
        <v>262.61265343428647</v>
      </c>
      <c r="AN55" s="26">
        <f>0.12*(SQRT(AM55)-SQRT(B13))</f>
        <v>-0.034451348269031144</v>
      </c>
      <c r="AO55" s="4">
        <f t="shared" si="10"/>
        <v>1.5180596732646412</v>
      </c>
      <c r="AP55" s="21">
        <v>0</v>
      </c>
      <c r="AQ55" s="21">
        <f>0.54*(Z55-Z54)+AQ54</f>
        <v>23.54</v>
      </c>
      <c r="AR55" s="21">
        <f t="shared" si="12"/>
        <v>3.5700000000000003</v>
      </c>
      <c r="AS55" s="35">
        <f t="shared" si="13"/>
        <v>0.17312410036281678</v>
      </c>
      <c r="AT55" s="36">
        <f>-0.32*LN(AF55/AF254)+0.0042*(AI55-AI254)-0.000105*(AQ55-AQ254)-0.000315*(AR55-AR254)</f>
        <v>0.4174329886518179</v>
      </c>
      <c r="AU55" s="4">
        <f>AU254+5*LN(AF55/AF254)+0.125*(AP55-AP254)+0.0011*(AQ55-AQ254)+0.0033*(AR55-AR254)</f>
        <v>24.307751583565345</v>
      </c>
      <c r="AV55" s="4">
        <f>0.042*(AU55-B14)</f>
        <v>-0.02907443349025551</v>
      </c>
      <c r="AW55" s="4">
        <f>0.05*0.036*(SQRT(AF55)-SQRT(B12))</f>
        <v>-0.0012210209304264182</v>
      </c>
      <c r="AX55" s="21">
        <v>0</v>
      </c>
      <c r="AY55" s="36">
        <f>-0.4*(AX55/AX254)</f>
        <v>0</v>
      </c>
      <c r="AZ55" s="36">
        <f>-0.8*LN((B15+AX55)/B15)*(LN((B15+AX254)/B15))^-1</f>
        <v>0</v>
      </c>
      <c r="BA55" s="36">
        <f>-0.1*(AQ55/AQ254)</f>
        <v>-0.0027057471264367817</v>
      </c>
      <c r="BB55" s="6">
        <f t="shared" si="14"/>
        <v>-0.08720828328199438</v>
      </c>
      <c r="BC55" s="6">
        <f t="shared" si="24"/>
        <v>0.002859576018790208</v>
      </c>
      <c r="BD55" s="4">
        <f t="shared" si="15"/>
        <v>0.8530142750215564</v>
      </c>
      <c r="BE55" s="4">
        <f>SUMPRODUCT(BC$4:BC55,$BD$303:BD$354)</f>
        <v>-0.0705906521231541</v>
      </c>
      <c r="BF55" s="23">
        <f>BE55*B7</f>
        <v>-0.0705906521231541</v>
      </c>
      <c r="BG55" s="48"/>
    </row>
    <row r="56" spans="5:59" ht="15">
      <c r="E56" s="1">
        <f t="shared" si="16"/>
        <v>52</v>
      </c>
      <c r="F56" s="1">
        <f t="shared" si="1"/>
        <v>1802</v>
      </c>
      <c r="G56" s="3">
        <v>0</v>
      </c>
      <c r="H56" s="3">
        <f aca="true" t="shared" si="31" ref="H56:H104">H55+0.001</f>
        <v>0.042</v>
      </c>
      <c r="I56" s="5">
        <f t="shared" si="18"/>
        <v>0.004954899622833125</v>
      </c>
      <c r="J56" s="5">
        <f t="shared" si="19"/>
        <v>0.01530848361111291</v>
      </c>
      <c r="K56" s="4">
        <f t="shared" si="2"/>
        <v>0.02173661676605397</v>
      </c>
      <c r="L56" s="4">
        <f t="shared" si="3"/>
        <v>0.00014894436167135118</v>
      </c>
      <c r="M56" s="4">
        <f>60*B8*LN(U56/U4)</f>
        <v>0.01630173913384948</v>
      </c>
      <c r="N56" s="4">
        <f t="shared" si="20"/>
        <v>2.428052129424096E-06</v>
      </c>
      <c r="O56" s="4">
        <f>SUMPRODUCT($M$4:M56,L$302:$L$354)</f>
        <v>0.005782487234574754</v>
      </c>
      <c r="P56" s="4">
        <f t="shared" si="21"/>
        <v>0.010519251899274724</v>
      </c>
      <c r="Q56" s="4">
        <f>(B5/(B4*B6))*W55</f>
        <v>0.7381815633884983</v>
      </c>
      <c r="R56" s="4">
        <f>(1.558-1.399*B3*0.01)*Q56+(7.4706-0.20207*B3)*0.001*Q56^2-(1.2748-0.12015*B3)*0.00001*Q56^3+(2.4491-0.12639*B3)*0.0000001*Q56^4-(1.5468-0.15326*B3)*0.0000000001*Q56^5</f>
        <v>0.9642030460521703</v>
      </c>
      <c r="S56" s="4">
        <f t="shared" si="27"/>
        <v>0.03328738628271972</v>
      </c>
      <c r="T56" s="5">
        <f>(T4+R56)*EXP(0.0423*BF55)</f>
        <v>280.1264995741211</v>
      </c>
      <c r="U56" s="4">
        <f t="shared" si="25"/>
        <v>280.2651944356378</v>
      </c>
      <c r="V56" s="4">
        <f t="shared" si="4"/>
        <v>0.0005095794073657995</v>
      </c>
      <c r="W56" s="4">
        <f>SUMPRODUCT($J$4:J56,$S$302:S$354)</f>
        <v>0.11726210739154556</v>
      </c>
      <c r="X56" s="6">
        <f>5.35*LN(U56/U4)</f>
        <v>0.005064709893501435</v>
      </c>
      <c r="Y56" s="4">
        <f t="shared" si="5"/>
        <v>1802</v>
      </c>
      <c r="Z56" s="4">
        <f t="shared" si="22"/>
        <v>52</v>
      </c>
      <c r="AA56" s="21">
        <f t="shared" si="6"/>
        <v>19.24</v>
      </c>
      <c r="AB56" s="6">
        <f>AA56+B16</f>
        <v>125.5753745</v>
      </c>
      <c r="AC56" s="24">
        <f t="shared" si="26"/>
        <v>122.53565671768993</v>
      </c>
      <c r="AD56" s="4">
        <f t="shared" si="29"/>
        <v>5.783877120013136</v>
      </c>
      <c r="AE56" s="4">
        <f t="shared" si="8"/>
        <v>3.0397177823100634</v>
      </c>
      <c r="AF56" s="6">
        <f t="shared" si="30"/>
        <v>708.7311812752307</v>
      </c>
      <c r="AG56" s="30">
        <f>0.036*(SQRT(AF56)-SQRT(B12))</f>
        <v>-0.022368320230866174</v>
      </c>
      <c r="AH56" s="27">
        <v>0</v>
      </c>
      <c r="AI56" s="47">
        <f>AH56+B17</f>
        <v>1.975</v>
      </c>
      <c r="AJ56" s="4">
        <f t="shared" si="9"/>
        <v>2.1217906184800808</v>
      </c>
      <c r="AK56" s="4">
        <f>120*(AI56/AI254)^-0.055</f>
        <v>123.69960739219069</v>
      </c>
      <c r="AL56" s="4">
        <f t="shared" si="0"/>
        <v>-0.14679061848008068</v>
      </c>
      <c r="AM56" s="5">
        <f t="shared" si="23"/>
        <v>262.46466647441946</v>
      </c>
      <c r="AN56" s="26">
        <f>0.12*(SQRT(AM56)-SQRT(B13))</f>
        <v>-0.034999345130357254</v>
      </c>
      <c r="AO56" s="4">
        <f t="shared" si="10"/>
        <v>1.5158592028561793</v>
      </c>
      <c r="AP56" s="21">
        <v>0</v>
      </c>
      <c r="AQ56" s="21">
        <f>0.54*(Z56-Z54)+AQ54</f>
        <v>24.08</v>
      </c>
      <c r="AR56" s="21">
        <f t="shared" si="12"/>
        <v>3.6400000000000006</v>
      </c>
      <c r="AS56" s="35">
        <f t="shared" si="13"/>
        <v>0.17289440616569132</v>
      </c>
      <c r="AT56" s="36">
        <f>-0.32*LN(AF56/AF254)+0.0042*(AI56-AI254)-0.000105*(AQ56-AQ254)-0.000315*(AR56-AR254)</f>
        <v>0.4159824088016905</v>
      </c>
      <c r="AU56" s="4">
        <f>AU254+5*LN(AF56/AF254)+0.125*(AP56-AP254)+0.0011*(AQ56-AQ254)+0.0033*(AR56-AR254)</f>
        <v>24.330011424973588</v>
      </c>
      <c r="AV56" s="4">
        <f>0.042*(AU56-B14)</f>
        <v>-0.028139520151109317</v>
      </c>
      <c r="AW56" s="4">
        <f>0.05*0.036*(SQRT(AF56)-SQRT(B12))</f>
        <v>-0.0011184160115433087</v>
      </c>
      <c r="AX56" s="21">
        <v>0</v>
      </c>
      <c r="AY56" s="36">
        <f>-0.4*(AX56/AX254)</f>
        <v>0</v>
      </c>
      <c r="AZ56" s="36">
        <f>-0.8*LN((B15+AX56)/B15)*(LN((B15+AX254)/B15))^-1</f>
        <v>0</v>
      </c>
      <c r="BA56" s="36">
        <f>-0.1*(AQ56/AQ254)</f>
        <v>-0.002767816091954023</v>
      </c>
      <c r="BB56" s="6">
        <f t="shared" si="14"/>
        <v>-0.08432870772232863</v>
      </c>
      <c r="BC56" s="6">
        <f t="shared" si="24"/>
        <v>0.0028795755596657535</v>
      </c>
      <c r="BD56" s="4">
        <f t="shared" si="15"/>
        <v>0.8526798366085809</v>
      </c>
      <c r="BE56" s="4">
        <f>SUMPRODUCT(BC$4:BC56,$BD$302:BD$354)</f>
        <v>-0.06931405157348239</v>
      </c>
      <c r="BF56" s="23">
        <f>BE56*B7</f>
        <v>-0.06931405157348239</v>
      </c>
      <c r="BG56" s="48"/>
    </row>
    <row r="57" spans="5:59" ht="15">
      <c r="E57" s="1">
        <f t="shared" si="16"/>
        <v>53</v>
      </c>
      <c r="F57" s="1">
        <f t="shared" si="1"/>
        <v>1803</v>
      </c>
      <c r="G57" s="3">
        <v>0</v>
      </c>
      <c r="H57" s="3">
        <f t="shared" si="31"/>
        <v>0.043000000000000003</v>
      </c>
      <c r="I57" s="5">
        <f t="shared" si="18"/>
        <v>0.005259787396419569</v>
      </c>
      <c r="J57" s="5">
        <f t="shared" si="19"/>
        <v>0.015237272059608177</v>
      </c>
      <c r="K57" s="4">
        <f t="shared" si="2"/>
        <v>0.022502940543972255</v>
      </c>
      <c r="L57" s="4">
        <f t="shared" si="3"/>
        <v>0.0001504414643263934</v>
      </c>
      <c r="M57" s="4">
        <f>60*B8*LN(U57/U4)</f>
        <v>0.017637224359504704</v>
      </c>
      <c r="N57" s="4">
        <f t="shared" si="20"/>
        <v>2.653369859297024E-06</v>
      </c>
      <c r="O57" s="4">
        <f>SUMPRODUCT($M$4:M57,L$301:$L$354)</f>
        <v>0.006470695716905957</v>
      </c>
      <c r="P57" s="4">
        <f t="shared" si="21"/>
        <v>0.011166528642598747</v>
      </c>
      <c r="Q57" s="4">
        <f>(B5/(B4*B6))*W56</f>
        <v>0.7437397750579796</v>
      </c>
      <c r="R57" s="4">
        <f>(1.558-1.399*B3*0.01)*Q57+(7.4706-0.20207*B3)*0.001*Q57^2-(1.2748-0.12015*B3)*0.00001*Q57^3+(2.4491-0.12639*B3)*0.0000001*Q57^4-(1.5468-0.15326*B3)*0.0000000001*Q57^5</f>
        <v>0.9714788444113795</v>
      </c>
      <c r="S57" s="4">
        <f t="shared" si="27"/>
        <v>0.03333716501377235</v>
      </c>
      <c r="T57" s="5">
        <f>(T4+R57)*EXP(0.0423*BF56)</f>
        <v>280.1488813675438</v>
      </c>
      <c r="U57" s="4">
        <f t="shared" si="25"/>
        <v>280.2869310524039</v>
      </c>
      <c r="V57" s="4">
        <f t="shared" si="4"/>
        <v>0.0005079674530109007</v>
      </c>
      <c r="W57" s="4">
        <f>SUMPRODUCT($J$4:J57,$S$301:S$354)</f>
        <v>0.11813666489389266</v>
      </c>
      <c r="X57" s="6">
        <f>5.35*LN(U57/U4)</f>
        <v>0.0054796254543176635</v>
      </c>
      <c r="Y57" s="4">
        <f t="shared" si="5"/>
        <v>1803</v>
      </c>
      <c r="Z57" s="4">
        <f t="shared" si="22"/>
        <v>53</v>
      </c>
      <c r="AA57" s="21">
        <f t="shared" si="6"/>
        <v>19.61</v>
      </c>
      <c r="AB57" s="6">
        <f>AA57+B16</f>
        <v>125.9453745</v>
      </c>
      <c r="AC57" s="24">
        <f t="shared" si="26"/>
        <v>122.89821273186116</v>
      </c>
      <c r="AD57" s="4">
        <f t="shared" si="29"/>
        <v>5.791548007378103</v>
      </c>
      <c r="AE57" s="4">
        <f t="shared" si="8"/>
        <v>3.047161768138835</v>
      </c>
      <c r="AF57" s="6">
        <f t="shared" si="30"/>
        <v>711.7708990575408</v>
      </c>
      <c r="AG57" s="30">
        <f>0.036*(SQRT(AF57)-SQRT(B12))</f>
        <v>-0.020315267620068852</v>
      </c>
      <c r="AH57" s="27">
        <v>0</v>
      </c>
      <c r="AI57" s="47">
        <f>AH57+B17</f>
        <v>1.975</v>
      </c>
      <c r="AJ57" s="4">
        <f t="shared" si="9"/>
        <v>2.1206039484366213</v>
      </c>
      <c r="AK57" s="4">
        <f>120*(AI57/AI254)^-0.055</f>
        <v>123.69960739219069</v>
      </c>
      <c r="AL57" s="4">
        <f t="shared" si="0"/>
        <v>-0.14560394843662117</v>
      </c>
      <c r="AM57" s="5">
        <f t="shared" si="23"/>
        <v>262.3178758559394</v>
      </c>
      <c r="AN57" s="26">
        <f>0.12*(SQRT(AM57)-SQRT(B13))</f>
        <v>-0.035543064573203366</v>
      </c>
      <c r="AO57" s="4">
        <f t="shared" si="10"/>
        <v>1.5136654010152022</v>
      </c>
      <c r="AP57" s="21">
        <v>0</v>
      </c>
      <c r="AQ57" s="21">
        <f>0.54*(Z57-Z54)+AQ54</f>
        <v>24.62</v>
      </c>
      <c r="AR57" s="21">
        <f t="shared" si="12"/>
        <v>3.7100000000000004</v>
      </c>
      <c r="AS57" s="35">
        <f t="shared" si="13"/>
        <v>0.1726654080612052</v>
      </c>
      <c r="AT57" s="36">
        <f>-0.32*LN(AF57/AF254)+0.0042*(AI57-AI254)-0.000105*(AQ57-AQ254)-0.000315*(AR57-AR254)</f>
        <v>0.4145341272979618</v>
      </c>
      <c r="AU57" s="4">
        <f>AU254+5*LN(AF57/AF254)+0.125*(AP57-AP254)+0.0011*(AQ57-AQ254)+0.0033*(AR57-AR254)</f>
        <v>24.352235354719348</v>
      </c>
      <c r="AV57" s="4">
        <f>0.042*(AU57-B14)</f>
        <v>-0.027206115101787404</v>
      </c>
      <c r="AW57" s="4">
        <f>0.05*0.036*(SQRT(AF57)-SQRT(B12))</f>
        <v>-0.0010157633810034426</v>
      </c>
      <c r="AX57" s="21">
        <v>0</v>
      </c>
      <c r="AY57" s="36">
        <f>-0.4*(AX57/AX254)</f>
        <v>0</v>
      </c>
      <c r="AZ57" s="36">
        <f>-0.8*LN((B15+AX57)/B15)*(LN((B15+AX254)/B15))^-1</f>
        <v>0</v>
      </c>
      <c r="BA57" s="36">
        <f>-0.1*(AQ57/AQ254)</f>
        <v>-0.0028298850574712646</v>
      </c>
      <c r="BB57" s="6">
        <f t="shared" si="14"/>
        <v>-0.08143047027921667</v>
      </c>
      <c r="BC57" s="6">
        <f t="shared" si="24"/>
        <v>0.0028982374431119617</v>
      </c>
      <c r="BD57" s="4">
        <f t="shared" si="15"/>
        <v>0.8523446372404989</v>
      </c>
      <c r="BE57" s="4">
        <f>SUMPRODUCT(BC$4:BC57,$BD$301:BD$354)</f>
        <v>-0.06798641129133597</v>
      </c>
      <c r="BF57" s="23">
        <f>BE57*B7</f>
        <v>-0.06798641129133597</v>
      </c>
      <c r="BG57" s="48"/>
    </row>
    <row r="58" spans="5:59" ht="15">
      <c r="E58" s="1">
        <f t="shared" si="16"/>
        <v>54</v>
      </c>
      <c r="F58" s="1">
        <f t="shared" si="1"/>
        <v>1804</v>
      </c>
      <c r="G58" s="3">
        <v>0</v>
      </c>
      <c r="H58" s="3">
        <f t="shared" si="31"/>
        <v>0.044000000000000004</v>
      </c>
      <c r="I58" s="5">
        <f t="shared" si="18"/>
        <v>0.005571830354470253</v>
      </c>
      <c r="J58" s="5">
        <f t="shared" si="19"/>
        <v>0.015185304034917474</v>
      </c>
      <c r="K58" s="4">
        <f t="shared" si="2"/>
        <v>0.023242865610612277</v>
      </c>
      <c r="L58" s="4">
        <f t="shared" si="3"/>
        <v>0.00015195362269757214</v>
      </c>
      <c r="M58" s="4">
        <f>60*B8*LN(U58/U4)</f>
        <v>0.019019682971574157</v>
      </c>
      <c r="N58" s="4">
        <f t="shared" si="20"/>
        <v>2.890109730090017E-06</v>
      </c>
      <c r="O58" s="4">
        <f>SUMPRODUCT($M$4:M58,L$300:$L$354)</f>
        <v>0.00719068712903381</v>
      </c>
      <c r="P58" s="4">
        <f t="shared" si="21"/>
        <v>0.011828995842540348</v>
      </c>
      <c r="Q58" s="4">
        <f>(B5/(B4*B6))*W57</f>
        <v>0.7492866922551866</v>
      </c>
      <c r="R58" s="4">
        <f>(1.558-1.399*B3*0.01)*Q58+(7.4706-0.20207*B3)*0.001*Q58^2-(1.2748-0.12015*B3)*0.00001*Q58^3+(2.4491-0.12639*B3)*0.0000001*Q58^4-(1.5468-0.15326*B3)*0.0000000001*Q58^5</f>
        <v>0.9787400930023925</v>
      </c>
      <c r="S58" s="4">
        <f t="shared" si="27"/>
        <v>0.03338723357893551</v>
      </c>
      <c r="T58" s="5">
        <f>(T4+R58)*EXP(0.0423*BF57)</f>
        <v>280.1718551383915</v>
      </c>
      <c r="U58" s="4">
        <f t="shared" si="25"/>
        <v>280.30943399294785</v>
      </c>
      <c r="V58" s="4">
        <f t="shared" si="4"/>
        <v>0.0005069952927809416</v>
      </c>
      <c r="W58" s="4">
        <f>SUMPRODUCT($J$4:J58,$S$300:S$354)</f>
        <v>0.11902113907206455</v>
      </c>
      <c r="X58" s="6">
        <f>5.35*LN(U58/U4)</f>
        <v>0.0059091349534217035</v>
      </c>
      <c r="Y58" s="4">
        <f t="shared" si="5"/>
        <v>1804</v>
      </c>
      <c r="Z58" s="4">
        <f t="shared" si="22"/>
        <v>54</v>
      </c>
      <c r="AA58" s="21">
        <f t="shared" si="6"/>
        <v>19.98</v>
      </c>
      <c r="AB58" s="6">
        <f>AA58+B16</f>
        <v>126.3153745</v>
      </c>
      <c r="AC58" s="24">
        <f t="shared" si="26"/>
        <v>123.26117947011033</v>
      </c>
      <c r="AD58" s="4">
        <f t="shared" si="29"/>
        <v>5.799214837133829</v>
      </c>
      <c r="AE58" s="4">
        <f t="shared" si="8"/>
        <v>3.0541950298896694</v>
      </c>
      <c r="AF58" s="6">
        <f t="shared" si="30"/>
        <v>714.8180608256796</v>
      </c>
      <c r="AG58" s="30">
        <f>0.036*(SQRT(AF58)-SQRT(B12))</f>
        <v>-0.01826158261585287</v>
      </c>
      <c r="AH58" s="27">
        <v>0</v>
      </c>
      <c r="AI58" s="47">
        <f>AH58+B17</f>
        <v>1.975</v>
      </c>
      <c r="AJ58" s="4">
        <f t="shared" si="9"/>
        <v>2.119426871552496</v>
      </c>
      <c r="AK58" s="4">
        <f>120*(AI58/AI254)^-0.055</f>
        <v>123.69960739219069</v>
      </c>
      <c r="AL58" s="4">
        <f t="shared" si="0"/>
        <v>-0.14442687155249612</v>
      </c>
      <c r="AM58" s="5">
        <f t="shared" si="23"/>
        <v>262.17227190750276</v>
      </c>
      <c r="AN58" s="26">
        <f>0.12*(SQRT(AM58)-SQRT(B13))</f>
        <v>-0.03608253884474507</v>
      </c>
      <c r="AO58" s="4">
        <f t="shared" si="10"/>
        <v>1.5114785586928956</v>
      </c>
      <c r="AP58" s="21">
        <v>0</v>
      </c>
      <c r="AQ58" s="21">
        <f>0.54*(Z58-Z54)+AQ54</f>
        <v>25.16</v>
      </c>
      <c r="AR58" s="21">
        <f t="shared" si="12"/>
        <v>3.7800000000000002</v>
      </c>
      <c r="AS58" s="35">
        <f t="shared" si="13"/>
        <v>0.17243713642004585</v>
      </c>
      <c r="AT58" s="36">
        <f>-0.32*LN(AF58/AF254)+0.0042*(AI58-AI254)-0.000105*(AQ58-AQ254)-0.000315*(AR58-AR254)</f>
        <v>0.4130883496871387</v>
      </c>
      <c r="AU58" s="4">
        <f>AU254+5*LN(AF58/AF254)+0.125*(AP58-AP254)+0.0011*(AQ58-AQ254)+0.0033*(AR58-AR254)</f>
        <v>24.37442016113846</v>
      </c>
      <c r="AV58" s="4">
        <f>0.042*(AU58-B14)</f>
        <v>-0.026274353232184695</v>
      </c>
      <c r="AW58" s="4">
        <f>0.05*0.036*(SQRT(AF58)-SQRT(B12))</f>
        <v>-0.0009130791307926437</v>
      </c>
      <c r="AX58" s="21">
        <v>0</v>
      </c>
      <c r="AY58" s="36">
        <f>-0.4*(AX58/AX254)</f>
        <v>0</v>
      </c>
      <c r="AZ58" s="36">
        <f>-0.8*LN((B15+AX58)/B15)*(LN((B15+AX254)/B15))^-1</f>
        <v>0</v>
      </c>
      <c r="BA58" s="36">
        <f>-0.1*(AQ58/AQ254)</f>
        <v>-0.0028919540229885056</v>
      </c>
      <c r="BB58" s="6">
        <f t="shared" si="14"/>
        <v>-0.07851437289314209</v>
      </c>
      <c r="BC58" s="6">
        <f t="shared" si="24"/>
        <v>0.0029160973860745815</v>
      </c>
      <c r="BD58" s="4">
        <f t="shared" si="15"/>
        <v>0.8520086751856547</v>
      </c>
      <c r="BE58" s="4">
        <f>SUMPRODUCT(BC$4:BC58,$BD$300:BD$354)</f>
        <v>-0.06661012596916965</v>
      </c>
      <c r="BF58" s="23">
        <f>BE58*B7</f>
        <v>-0.06661012596916965</v>
      </c>
      <c r="BG58" s="48"/>
    </row>
    <row r="59" spans="5:59" ht="15">
      <c r="E59" s="1">
        <f t="shared" si="16"/>
        <v>55</v>
      </c>
      <c r="F59" s="1">
        <f t="shared" si="1"/>
        <v>1805</v>
      </c>
      <c r="G59" s="3">
        <v>0</v>
      </c>
      <c r="H59" s="3">
        <f t="shared" si="31"/>
        <v>0.045000000000000005</v>
      </c>
      <c r="I59" s="5">
        <f t="shared" si="18"/>
        <v>0.0058899800835015255</v>
      </c>
      <c r="J59" s="5">
        <f t="shared" si="19"/>
        <v>0.015142092374947546</v>
      </c>
      <c r="K59" s="4">
        <f t="shared" si="2"/>
        <v>0.02396792754155093</v>
      </c>
      <c r="L59" s="4">
        <f t="shared" si="3"/>
        <v>0.0001534809885887482</v>
      </c>
      <c r="M59" s="4">
        <f>60*B8*LN(U59/U4)</f>
        <v>0.020447482055147563</v>
      </c>
      <c r="N59" s="4">
        <f t="shared" si="20"/>
        <v>3.1382997599747365E-06</v>
      </c>
      <c r="O59" s="4">
        <f>SUMPRODUCT($M$4:M59,L$299:$L$354)</f>
        <v>0.007943054337873822</v>
      </c>
      <c r="P59" s="4">
        <f t="shared" si="21"/>
        <v>0.01250442771727374</v>
      </c>
      <c r="Q59" s="4">
        <f>(B5/(B4*B6))*W58</f>
        <v>0.7548965063797244</v>
      </c>
      <c r="R59" s="4">
        <f>(1.558-1.399*B3*0.01)*Q59+(7.4706-0.20207*B3)*0.001*Q59^2-(1.2748-0.12015*B3)*0.00001*Q59^3+(2.4491-0.12639*B3)*0.0000001*Q59^4-(1.5468-0.15326*B3)*0.0000000001*Q59^5</f>
        <v>0.9860839161330566</v>
      </c>
      <c r="S59" s="4">
        <f t="shared" si="27"/>
        <v>0.033437594330058405</v>
      </c>
      <c r="T59" s="5">
        <f>(T4+R59)*EXP(0.0423*BF58)</f>
        <v>280.1954895016414</v>
      </c>
      <c r="U59" s="4">
        <f t="shared" si="25"/>
        <v>280.33267685855844</v>
      </c>
      <c r="V59" s="4">
        <f t="shared" si="4"/>
        <v>0.0005063151421417667</v>
      </c>
      <c r="W59" s="4">
        <f>SUMPRODUCT($J$4:J59,$S$299:S$354)</f>
        <v>0.1199108416935721</v>
      </c>
      <c r="X59" s="6">
        <f>5.35*LN(U59/U4)</f>
        <v>0.006352731068236903</v>
      </c>
      <c r="Y59" s="4">
        <f t="shared" si="5"/>
        <v>1805</v>
      </c>
      <c r="Z59" s="4">
        <f t="shared" si="22"/>
        <v>55</v>
      </c>
      <c r="AA59" s="21">
        <f t="shared" si="6"/>
        <v>20.35</v>
      </c>
      <c r="AB59" s="6">
        <f>AA59+B16</f>
        <v>126.6853745</v>
      </c>
      <c r="AC59" s="24">
        <f t="shared" si="26"/>
        <v>123.62450607560433</v>
      </c>
      <c r="AD59" s="4">
        <f t="shared" si="29"/>
        <v>5.806876635094859</v>
      </c>
      <c r="AE59" s="4">
        <f t="shared" si="8"/>
        <v>3.0608684243956645</v>
      </c>
      <c r="AF59" s="6">
        <f t="shared" si="30"/>
        <v>717.8722558555693</v>
      </c>
      <c r="AG59" s="30">
        <f>0.036*(SQRT(AF59)-SQRT(B12))</f>
        <v>-0.01620754518767616</v>
      </c>
      <c r="AH59" s="27">
        <v>0</v>
      </c>
      <c r="AI59" s="47">
        <f>AH59+B17</f>
        <v>1.975</v>
      </c>
      <c r="AJ59" s="4">
        <f t="shared" si="9"/>
        <v>2.118259310275648</v>
      </c>
      <c r="AK59" s="4">
        <f>120*(AI59/AI254)^-0.055</f>
        <v>123.69960739219069</v>
      </c>
      <c r="AL59" s="4">
        <f t="shared" si="0"/>
        <v>-0.14325931027564787</v>
      </c>
      <c r="AM59" s="5">
        <f t="shared" si="23"/>
        <v>262.0278450359503</v>
      </c>
      <c r="AN59" s="26">
        <f>0.12*(SQRT(AM59)-SQRT(B13))</f>
        <v>-0.03661779996615721</v>
      </c>
      <c r="AO59" s="4">
        <f t="shared" si="10"/>
        <v>1.509298920510865</v>
      </c>
      <c r="AP59" s="21">
        <v>0</v>
      </c>
      <c r="AQ59" s="21">
        <f>0.54*(Z59-Z54)+AQ54</f>
        <v>25.7</v>
      </c>
      <c r="AR59" s="21">
        <f t="shared" si="12"/>
        <v>3.8500000000000005</v>
      </c>
      <c r="AS59" s="35">
        <f t="shared" si="13"/>
        <v>0.1722096167768276</v>
      </c>
      <c r="AT59" s="36">
        <f>-0.32*LN(AF59/AF254)+0.0042*(AI59-AI254)-0.000105*(AQ59-AQ254)-0.000315*(AR59-AR254)</f>
        <v>0.41164525195796153</v>
      </c>
      <c r="AU59" s="4">
        <f>AU254+5*LN(AF59/AF254)+0.125*(AP59-AP254)+0.0011*(AQ59-AQ254)+0.0033*(AR59-AR254)</f>
        <v>24.39656309440685</v>
      </c>
      <c r="AV59" s="4">
        <f>0.042*(AU59-B14)</f>
        <v>-0.02534435003491227</v>
      </c>
      <c r="AW59" s="4">
        <f>0.05*0.036*(SQRT(AF59)-SQRT(B12))</f>
        <v>-0.000810377259383808</v>
      </c>
      <c r="AX59" s="21">
        <v>0</v>
      </c>
      <c r="AY59" s="36">
        <f>-0.4*(AX59/AX254)</f>
        <v>0</v>
      </c>
      <c r="AZ59" s="36">
        <f>-0.8*LN((B15+AX59)/B15)*(LN((B15+AX254)/B15))^-1</f>
        <v>0</v>
      </c>
      <c r="BA59" s="36">
        <f>-0.1*(AQ59/AQ254)</f>
        <v>-0.002954022988505747</v>
      </c>
      <c r="BB59" s="6">
        <f t="shared" si="14"/>
        <v>-0.07558136436839828</v>
      </c>
      <c r="BC59" s="6">
        <f t="shared" si="24"/>
        <v>0.002933008524743805</v>
      </c>
      <c r="BD59" s="4">
        <f t="shared" si="15"/>
        <v>0.851671948708435</v>
      </c>
      <c r="BE59" s="4">
        <f>SUMPRODUCT(BC$4:BC59,$BD$299:BD$354)</f>
        <v>-0.06518746786543755</v>
      </c>
      <c r="BF59" s="23">
        <f>BE59*B7</f>
        <v>-0.06518746786543755</v>
      </c>
      <c r="BG59" s="48"/>
    </row>
    <row r="60" spans="5:59" ht="15">
      <c r="E60" s="1">
        <f t="shared" si="16"/>
        <v>56</v>
      </c>
      <c r="F60" s="1">
        <f t="shared" si="1"/>
        <v>1806</v>
      </c>
      <c r="G60" s="3">
        <v>0</v>
      </c>
      <c r="H60" s="3">
        <f t="shared" si="31"/>
        <v>0.046000000000000006</v>
      </c>
      <c r="I60" s="5">
        <f t="shared" si="18"/>
        <v>0.006213592579913157</v>
      </c>
      <c r="J60" s="5">
        <f t="shared" si="19"/>
        <v>0.015113235694343027</v>
      </c>
      <c r="K60" s="4">
        <f t="shared" si="2"/>
        <v>0.024673171725743823</v>
      </c>
      <c r="L60" s="4">
        <f t="shared" si="3"/>
        <v>0.00015502371535463123</v>
      </c>
      <c r="M60" s="4">
        <f>60*B8*LN(U60/U4)</f>
        <v>0.021919697403592835</v>
      </c>
      <c r="N60" s="4">
        <f t="shared" si="20"/>
        <v>3.398072930954225E-06</v>
      </c>
      <c r="O60" s="4">
        <f>SUMPRODUCT($M$4:M60,L$298:$L$354)</f>
        <v>0.008728240356437201</v>
      </c>
      <c r="P60" s="4">
        <f t="shared" si="21"/>
        <v>0.013191457047155634</v>
      </c>
      <c r="Q60" s="4">
        <f>(B5/(B4*B6))*W59</f>
        <v>0.7605394821227668</v>
      </c>
      <c r="R60" s="4">
        <f>(1.558-1.399*B3*0.01)*Q60+(7.4706-0.20207*B3)*0.001*Q60^2-(1.2748-0.12015*B3)*0.00001*Q60^3+(2.4491-0.12639*B3)*0.0000001*Q60^4-(1.5468-0.15326*B3)*0.0000000001*Q60^5</f>
        <v>0.9934713933924336</v>
      </c>
      <c r="S60" s="4">
        <f t="shared" si="27"/>
        <v>0.03348824964534033</v>
      </c>
      <c r="T60" s="5">
        <f>(T4+R60)*EXP(0.0423*BF59)</f>
        <v>280.21971887070924</v>
      </c>
      <c r="U60" s="4">
        <f t="shared" si="25"/>
        <v>280.3566447861</v>
      </c>
      <c r="V60" s="4">
        <f t="shared" si="4"/>
        <v>0.0005061158098810276</v>
      </c>
      <c r="W60" s="4">
        <f>SUMPRODUCT($J$4:J60,$S$298:S$354)</f>
        <v>0.12081201956569212</v>
      </c>
      <c r="X60" s="6">
        <f>5.35*LN(U60/U4)</f>
        <v>0.006810126661394986</v>
      </c>
      <c r="Y60" s="4">
        <f t="shared" si="5"/>
        <v>1806</v>
      </c>
      <c r="Z60" s="4">
        <f t="shared" si="22"/>
        <v>56</v>
      </c>
      <c r="AA60" s="21">
        <f t="shared" si="6"/>
        <v>20.72</v>
      </c>
      <c r="AB60" s="6">
        <f>AA60+B16</f>
        <v>127.0553745</v>
      </c>
      <c r="AC60" s="24">
        <f t="shared" si="26"/>
        <v>123.98814813531352</v>
      </c>
      <c r="AD60" s="4">
        <f t="shared" si="29"/>
        <v>5.814532559137668</v>
      </c>
      <c r="AE60" s="4">
        <f t="shared" si="8"/>
        <v>3.0672263646864764</v>
      </c>
      <c r="AF60" s="6">
        <f t="shared" si="30"/>
        <v>720.9331242799649</v>
      </c>
      <c r="AG60" s="30">
        <f>0.036*(SQRT(AF60)-SQRT(B12))</f>
        <v>-0.014153398832214463</v>
      </c>
      <c r="AH60" s="27">
        <v>0</v>
      </c>
      <c r="AI60" s="47">
        <f>AH60+B17</f>
        <v>1.975</v>
      </c>
      <c r="AJ60" s="4">
        <f t="shared" si="9"/>
        <v>2.1171011876809542</v>
      </c>
      <c r="AK60" s="4">
        <f>120*(AI60/AI254)^-0.055</f>
        <v>123.69960739219069</v>
      </c>
      <c r="AL60" s="4">
        <f t="shared" si="0"/>
        <v>-0.14210118768095414</v>
      </c>
      <c r="AM60" s="5">
        <f t="shared" si="23"/>
        <v>261.88458572567464</v>
      </c>
      <c r="AN60" s="26">
        <f>0.12*(SQRT(AM60)-SQRT(B13))</f>
        <v>-0.03714887973394653</v>
      </c>
      <c r="AO60" s="4">
        <f t="shared" si="10"/>
        <v>1.5071266909544418</v>
      </c>
      <c r="AP60" s="21">
        <v>0</v>
      </c>
      <c r="AQ60" s="21">
        <f>0.54*(Z60-Z54)+AQ54</f>
        <v>26.240000000000002</v>
      </c>
      <c r="AR60" s="21">
        <f t="shared" si="12"/>
        <v>3.9200000000000004</v>
      </c>
      <c r="AS60" s="35">
        <f t="shared" si="13"/>
        <v>0.17198287047657468</v>
      </c>
      <c r="AT60" s="36">
        <f>-0.32*LN(AF60/AF254)+0.0042*(AI60-AI254)-0.000105*(AQ60-AQ254)-0.000315*(AR60-AR254)</f>
        <v>0.4102049844282951</v>
      </c>
      <c r="AU60" s="4">
        <f>AU254+5*LN(AF60/AF254)+0.125*(AP60-AP254)+0.0011*(AQ60-AQ254)+0.0033*(AR60-AR254)</f>
        <v>24.41866180580789</v>
      </c>
      <c r="AV60" s="4">
        <f>0.042*(AU60-B14)</f>
        <v>-0.024416204156068624</v>
      </c>
      <c r="AW60" s="4">
        <f>0.05*0.036*(SQRT(AF60)-SQRT(B12))</f>
        <v>-0.0007076699416107232</v>
      </c>
      <c r="AX60" s="21">
        <v>0</v>
      </c>
      <c r="AY60" s="36">
        <f>-0.4*(AX60/AX254)</f>
        <v>0</v>
      </c>
      <c r="AZ60" s="36">
        <f>-0.8*LN((B15+AX60)/B15)*(LN((B15+AX254)/B15))^-1</f>
        <v>0</v>
      </c>
      <c r="BA60" s="36">
        <f>-0.1*(AQ60/AQ254)</f>
        <v>-0.003016091954022989</v>
      </c>
      <c r="BB60" s="6">
        <f t="shared" si="14"/>
        <v>-0.07263211795646835</v>
      </c>
      <c r="BC60" s="6">
        <f t="shared" si="24"/>
        <v>0.002949246411929937</v>
      </c>
      <c r="BD60" s="4">
        <f t="shared" si="15"/>
        <v>0.8513344560692582</v>
      </c>
      <c r="BE60" s="4">
        <f>SUMPRODUCT(BC$4:BC60,$BD$298:BD$354)</f>
        <v>-0.06372060214599591</v>
      </c>
      <c r="BF60" s="23">
        <f>BE60*B7</f>
        <v>-0.06372060214599591</v>
      </c>
      <c r="BG60" s="48"/>
    </row>
    <row r="61" spans="5:59" ht="15">
      <c r="E61" s="1">
        <f t="shared" si="16"/>
        <v>57</v>
      </c>
      <c r="F61" s="1">
        <f t="shared" si="1"/>
        <v>1807</v>
      </c>
      <c r="G61" s="3">
        <v>0</v>
      </c>
      <c r="H61" s="3">
        <f t="shared" si="31"/>
        <v>0.04700000000000001</v>
      </c>
      <c r="I61" s="5">
        <f t="shared" si="18"/>
        <v>0.0065419498656144985</v>
      </c>
      <c r="J61" s="5">
        <f t="shared" si="19"/>
        <v>0.015093652522943986</v>
      </c>
      <c r="K61" s="4">
        <f t="shared" si="2"/>
        <v>0.025364397611441526</v>
      </c>
      <c r="L61" s="4">
        <f t="shared" si="3"/>
        <v>0.00015658195791765745</v>
      </c>
      <c r="M61" s="4">
        <f>60*B8*LN(U61/U4)</f>
        <v>0.023435100481752468</v>
      </c>
      <c r="N61" s="4">
        <f t="shared" si="20"/>
        <v>3.669513917429839E-06</v>
      </c>
      <c r="O61" s="4">
        <f>SUMPRODUCT($M$4:M61,L$297:$L$354)</f>
        <v>0.009546540917052886</v>
      </c>
      <c r="P61" s="4">
        <f t="shared" si="21"/>
        <v>0.013888559564699582</v>
      </c>
      <c r="Q61" s="4">
        <f>(B5/(B4*B6))*W60</f>
        <v>0.7662552401183125</v>
      </c>
      <c r="R61" s="4">
        <f>(1.558-1.399*B3*0.01)*Q61+(7.4706-0.20207*B3)*0.001*Q61^2-(1.2748-0.12015*B3)*0.00001*Q61^3+(2.4491-0.12639*B3)*0.0000001*Q61^4-(1.5468-0.15326*B3)*0.0000000001*Q61^5</f>
        <v>1.000954400827874</v>
      </c>
      <c r="S61" s="4">
        <f t="shared" si="27"/>
        <v>0.033539201929685264</v>
      </c>
      <c r="T61" s="5">
        <f>(T4+R61)*EXP(0.0423*BF60)</f>
        <v>280.24456946596786</v>
      </c>
      <c r="U61" s="4">
        <f t="shared" si="25"/>
        <v>280.38131795782573</v>
      </c>
      <c r="V61" s="4">
        <f t="shared" si="4"/>
        <v>0.0005062290598235218</v>
      </c>
      <c r="W61" s="4">
        <f>SUMPRODUCT($J$4:J61,$S$297:S$354)</f>
        <v>0.12172312838081167</v>
      </c>
      <c r="X61" s="6">
        <f>5.35*LN(U61/U4)</f>
        <v>0.0072809400451437686</v>
      </c>
      <c r="Y61" s="4">
        <f t="shared" si="5"/>
        <v>1807</v>
      </c>
      <c r="Z61" s="4">
        <f t="shared" si="22"/>
        <v>57</v>
      </c>
      <c r="AA61" s="21">
        <f t="shared" si="6"/>
        <v>21.09</v>
      </c>
      <c r="AB61" s="6">
        <f>AA61+B16</f>
        <v>127.4253745</v>
      </c>
      <c r="AC61" s="24">
        <f t="shared" si="26"/>
        <v>124.35206685595422</v>
      </c>
      <c r="AD61" s="4">
        <f t="shared" si="29"/>
        <v>5.822181882053574</v>
      </c>
      <c r="AE61" s="4">
        <f t="shared" si="8"/>
        <v>3.0733076440457836</v>
      </c>
      <c r="AF61" s="6">
        <f t="shared" si="30"/>
        <v>724.0003506446513</v>
      </c>
      <c r="AG61" s="30">
        <f>0.036*(SQRT(AF61)-SQRT(B12))</f>
        <v>-0.012099355270112766</v>
      </c>
      <c r="AH61" s="27">
        <v>0</v>
      </c>
      <c r="AI61" s="47">
        <f>AH61+B17</f>
        <v>1.975</v>
      </c>
      <c r="AJ61" s="4">
        <f t="shared" si="9"/>
        <v>2.115952427465164</v>
      </c>
      <c r="AK61" s="4">
        <f>120*(AI61/AI254)^-0.055</f>
        <v>123.69960739219069</v>
      </c>
      <c r="AL61" s="4">
        <f t="shared" si="0"/>
        <v>-0.14095242746516412</v>
      </c>
      <c r="AM61" s="5">
        <f t="shared" si="23"/>
        <v>261.7424845379937</v>
      </c>
      <c r="AN61" s="26">
        <f>0.12*(SQRT(AM61)-SQRT(B13))</f>
        <v>-0.03767580972127888</v>
      </c>
      <c r="AO61" s="4">
        <f t="shared" si="10"/>
        <v>1.504962039742413</v>
      </c>
      <c r="AP61" s="21">
        <v>0</v>
      </c>
      <c r="AQ61" s="21">
        <f>0.54*(Z61-Z54)+AQ54</f>
        <v>26.78</v>
      </c>
      <c r="AR61" s="21">
        <f t="shared" si="12"/>
        <v>3.99</v>
      </c>
      <c r="AS61" s="35">
        <f t="shared" si="13"/>
        <v>0.17175691523523556</v>
      </c>
      <c r="AT61" s="36">
        <f>-0.32*LN(AF61/AF254)+0.0042*(AI61-AI254)-0.000105*(AQ61-AQ254)-0.000315*(AR61-AR254)</f>
        <v>0.40876767512022355</v>
      </c>
      <c r="AU61" s="4">
        <f>AU254+5*LN(AF61/AF254)+0.125*(AP61-AP254)+0.0011*(AQ61-AQ254)+0.0033*(AR61-AR254)</f>
        <v>24.440714294996507</v>
      </c>
      <c r="AV61" s="4">
        <f>0.042*(AU61-B14)</f>
        <v>-0.023489999610146705</v>
      </c>
      <c r="AW61" s="4">
        <f>0.05*0.036*(SQRT(AF61)-SQRT(B12))</f>
        <v>-0.0006049677635056384</v>
      </c>
      <c r="AX61" s="21">
        <v>0</v>
      </c>
      <c r="AY61" s="36">
        <f>-0.4*(AX61/AX254)</f>
        <v>0</v>
      </c>
      <c r="AZ61" s="36">
        <f>-0.8*LN((B15+AX61)/B15)*(LN((B15+AX254)/B15))^-1</f>
        <v>0</v>
      </c>
      <c r="BA61" s="36">
        <f>-0.1*(AQ61/AQ254)</f>
        <v>-0.0030781609195402303</v>
      </c>
      <c r="BB61" s="6">
        <f t="shared" si="14"/>
        <v>-0.06966735323944045</v>
      </c>
      <c r="BC61" s="6">
        <f t="shared" si="24"/>
        <v>0.00296476471702789</v>
      </c>
      <c r="BD61" s="4">
        <f t="shared" si="15"/>
        <v>0.8509961955245646</v>
      </c>
      <c r="BE61" s="4">
        <f>SUMPRODUCT(BC$4:BC61,$BD$297:BD$354)</f>
        <v>-0.062211580803609876</v>
      </c>
      <c r="BF61" s="23">
        <f>BE61*B7</f>
        <v>-0.062211580803609876</v>
      </c>
      <c r="BG61" s="48"/>
    </row>
    <row r="62" spans="5:59" ht="15">
      <c r="E62" s="1">
        <f t="shared" si="16"/>
        <v>58</v>
      </c>
      <c r="F62" s="1">
        <f t="shared" si="1"/>
        <v>1808</v>
      </c>
      <c r="G62" s="3">
        <v>0</v>
      </c>
      <c r="H62" s="3">
        <f t="shared" si="31"/>
        <v>0.04800000000000001</v>
      </c>
      <c r="I62" s="5">
        <f t="shared" si="18"/>
        <v>0.006874571969118923</v>
      </c>
      <c r="J62" s="5">
        <f t="shared" si="19"/>
        <v>0.015085874027740335</v>
      </c>
      <c r="K62" s="4">
        <f t="shared" si="2"/>
        <v>0.02603955400314075</v>
      </c>
      <c r="L62" s="4">
        <f t="shared" si="3"/>
        <v>0.00015815587278510387</v>
      </c>
      <c r="M62" s="4">
        <f>60*B8*LN(U62/U4)</f>
        <v>0.024992819002555674</v>
      </c>
      <c r="N62" s="4">
        <f t="shared" si="20"/>
        <v>3.952761102709322E-06</v>
      </c>
      <c r="O62" s="4">
        <f>SUMPRODUCT($M$4:M62,L$296:$L$354)</f>
        <v>0.0103981027121162</v>
      </c>
      <c r="P62" s="4">
        <f t="shared" si="21"/>
        <v>0.014594716290439473</v>
      </c>
      <c r="Q62" s="4">
        <f>(B5/(B4*B6))*W61</f>
        <v>0.772033985531336</v>
      </c>
      <c r="R62" s="4">
        <f>(1.558-1.399*B3*0.01)*Q62+(7.4706-0.20207*B3)*0.001*Q62^2-(1.2748-0.12015*B3)*0.00001*Q62^3+(2.4491-0.12639*B3)*0.0000001*Q62^4-(1.5468-0.15326*B3)*0.0000000001*Q62^5</f>
        <v>1.0085201240333648</v>
      </c>
      <c r="S62" s="4">
        <f t="shared" si="27"/>
        <v>0.03359045361506171</v>
      </c>
      <c r="T62" s="5">
        <f>(T4+R62)*EXP(0.0423*BF61)</f>
        <v>280.27000433674584</v>
      </c>
      <c r="U62" s="4">
        <f t="shared" si="25"/>
        <v>280.40668235543717</v>
      </c>
      <c r="V62" s="4">
        <f t="shared" si="4"/>
        <v>0.0005067413517714759</v>
      </c>
      <c r="W62" s="4">
        <f>SUMPRODUCT($J$4:J62,$S$296:S$354)</f>
        <v>0.12264778768264512</v>
      </c>
      <c r="X62" s="6">
        <f>5.35*LN(U62/U4)</f>
        <v>0.007764900212756844</v>
      </c>
      <c r="Y62" s="4">
        <f t="shared" si="5"/>
        <v>1808</v>
      </c>
      <c r="Z62" s="4">
        <f t="shared" si="22"/>
        <v>58</v>
      </c>
      <c r="AA62" s="21">
        <f t="shared" si="6"/>
        <v>21.46</v>
      </c>
      <c r="AB62" s="6">
        <f>AA62+B16</f>
        <v>127.79537450000001</v>
      </c>
      <c r="AC62" s="24">
        <f t="shared" si="26"/>
        <v>124.71622834620203</v>
      </c>
      <c r="AD62" s="4">
        <f t="shared" si="29"/>
        <v>5.829823976639193</v>
      </c>
      <c r="AE62" s="4">
        <f t="shared" si="8"/>
        <v>3.0791461537979785</v>
      </c>
      <c r="AF62" s="6">
        <f t="shared" si="30"/>
        <v>727.0736582886972</v>
      </c>
      <c r="AG62" s="30">
        <f>0.036*(SQRT(AF62)-SQRT(B12))</f>
        <v>-0.01004559853360986</v>
      </c>
      <c r="AH62" s="27">
        <v>0</v>
      </c>
      <c r="AI62" s="47">
        <f>AH62+B17</f>
        <v>1.975</v>
      </c>
      <c r="AJ62" s="4">
        <f t="shared" si="9"/>
        <v>2.1148129539418714</v>
      </c>
      <c r="AK62" s="4">
        <f>120*(AI62/AI254)^-0.055</f>
        <v>123.69960739219069</v>
      </c>
      <c r="AL62" s="4">
        <f t="shared" si="0"/>
        <v>-0.13981295394187132</v>
      </c>
      <c r="AM62" s="5">
        <f t="shared" si="23"/>
        <v>261.6015321105285</v>
      </c>
      <c r="AN62" s="26">
        <f>0.12*(SQRT(AM62)-SQRT(B13))</f>
        <v>-0.0381986212793025</v>
      </c>
      <c r="AO62" s="4">
        <f t="shared" si="10"/>
        <v>1.5028051064831276</v>
      </c>
      <c r="AP62" s="21">
        <v>0</v>
      </c>
      <c r="AQ62" s="21">
        <f>0.54*(Z62-Z54)+AQ54</f>
        <v>27.32</v>
      </c>
      <c r="AR62" s="21">
        <f t="shared" si="12"/>
        <v>4.0600000000000005</v>
      </c>
      <c r="AS62" s="35">
        <f t="shared" si="13"/>
        <v>0.1715317656257068</v>
      </c>
      <c r="AT62" s="36">
        <f>-0.32*LN(AF62/AF254)+0.0042*(AI62-AI254)-0.000105*(AQ62-AQ254)-0.000315*(AR62-AR254)</f>
        <v>0.4073334326910943</v>
      </c>
      <c r="AU62" s="4">
        <f>AU254+5*LN(AF62/AF254)+0.125*(AP62-AP254)+0.0011*(AQ62-AQ254)+0.0033*(AR62-AR254)</f>
        <v>24.462718864201655</v>
      </c>
      <c r="AV62" s="4">
        <f>0.042*(AU62-B14)</f>
        <v>-0.022565807703530498</v>
      </c>
      <c r="AW62" s="4">
        <f>0.05*0.036*(SQRT(AF62)-SQRT(B12))</f>
        <v>-0.0005022799266804931</v>
      </c>
      <c r="AX62" s="21">
        <v>0</v>
      </c>
      <c r="AY62" s="36">
        <f>-0.4*(AX62/AX254)</f>
        <v>0</v>
      </c>
      <c r="AZ62" s="36">
        <f>-0.8*LN((B15+AX62)/B15)*(LN((B15+AX254)/B15))^-1</f>
        <v>0</v>
      </c>
      <c r="BA62" s="36">
        <f>-0.1*(AQ62/AQ254)</f>
        <v>-0.0031402298850574713</v>
      </c>
      <c r="BB62" s="6">
        <f t="shared" si="14"/>
        <v>-0.06668763711542398</v>
      </c>
      <c r="BC62" s="6">
        <f t="shared" si="24"/>
        <v>0.002979716124016471</v>
      </c>
      <c r="BD62" s="4">
        <f t="shared" si="15"/>
        <v>0.8506571653268056</v>
      </c>
      <c r="BE62" s="4">
        <f>SUMPRODUCT(BC$4:BC62,$BD$296:BD$354)</f>
        <v>-0.06066235251756028</v>
      </c>
      <c r="BF62" s="23">
        <f>BE62*B7</f>
        <v>-0.06066235251756028</v>
      </c>
      <c r="BG62" s="48"/>
    </row>
    <row r="63" spans="5:59" ht="15">
      <c r="E63" s="1">
        <f t="shared" si="16"/>
        <v>59</v>
      </c>
      <c r="F63" s="1">
        <f t="shared" si="1"/>
        <v>1809</v>
      </c>
      <c r="G63" s="3">
        <v>0</v>
      </c>
      <c r="H63" s="3">
        <f t="shared" si="31"/>
        <v>0.04900000000000001</v>
      </c>
      <c r="I63" s="5">
        <f t="shared" si="18"/>
        <v>0.007210974134116456</v>
      </c>
      <c r="J63" s="5">
        <f t="shared" si="19"/>
        <v>0.015087349879649992</v>
      </c>
      <c r="K63" s="4">
        <f t="shared" si="2"/>
        <v>0.02670167598623356</v>
      </c>
      <c r="L63" s="4">
        <f t="shared" si="3"/>
        <v>0.00015974561806644344</v>
      </c>
      <c r="M63" s="4">
        <f>60*B8*LN(U63/U4)</f>
        <v>0.02659185472239764</v>
      </c>
      <c r="N63" s="4">
        <f t="shared" si="20"/>
        <v>4.247932268162484E-06</v>
      </c>
      <c r="O63" s="4">
        <f>SUMPRODUCT($M$4:M63,L$295:$L$354)</f>
        <v>0.011282956635668402</v>
      </c>
      <c r="P63" s="4">
        <f t="shared" si="21"/>
        <v>0.015308898086729238</v>
      </c>
      <c r="Q63" s="4">
        <f>(B5/(B4*B6))*W62</f>
        <v>0.7778986754678265</v>
      </c>
      <c r="R63" s="4">
        <f>(1.558-1.399*B3*0.01)*Q63+(7.4706-0.20207*B3)*0.001*Q63^2-(1.2748-0.12015*B3)*0.00001*Q63^3+(2.4491-0.12639*B3)*0.0000001*Q63^4-(1.5468-0.15326*B3)*0.0000000001*Q63^5</f>
        <v>1.016198629076925</v>
      </c>
      <c r="S63" s="4">
        <f t="shared" si="27"/>
        <v>0.03364200716086783</v>
      </c>
      <c r="T63" s="5">
        <f>(T4+R63)*EXP(0.0423*BF62)</f>
        <v>280.2960305195307</v>
      </c>
      <c r="U63" s="4">
        <f t="shared" si="25"/>
        <v>280.4327219094403</v>
      </c>
      <c r="V63" s="4">
        <f t="shared" si="4"/>
        <v>0.0005075687326897034</v>
      </c>
      <c r="W63" s="4">
        <f>SUMPRODUCT($J$4:J63,$S$295:S$354)</f>
        <v>0.12358587573630607</v>
      </c>
      <c r="X63" s="6">
        <f>5.35*LN(U63/U4)</f>
        <v>0.00826169702467058</v>
      </c>
      <c r="Y63" s="4">
        <f t="shared" si="5"/>
        <v>1809</v>
      </c>
      <c r="Z63" s="4">
        <f t="shared" si="22"/>
        <v>59</v>
      </c>
      <c r="AA63" s="21">
        <f t="shared" si="6"/>
        <v>21.83</v>
      </c>
      <c r="AB63" s="6">
        <f>AA63+B16</f>
        <v>128.16537449999998</v>
      </c>
      <c r="AC63" s="24">
        <f t="shared" si="26"/>
        <v>125.08060299136618</v>
      </c>
      <c r="AD63" s="4">
        <f t="shared" si="29"/>
        <v>5.837458302730558</v>
      </c>
      <c r="AE63" s="4">
        <f t="shared" si="8"/>
        <v>3.084771508633807</v>
      </c>
      <c r="AF63" s="6">
        <f t="shared" si="30"/>
        <v>730.1528044424952</v>
      </c>
      <c r="AG63" s="30">
        <f>0.036*(SQRT(AF63)-SQRT(B12))</f>
        <v>-0.007992288524599715</v>
      </c>
      <c r="AH63" s="27">
        <v>0</v>
      </c>
      <c r="AI63" s="47">
        <f>AH63+B17</f>
        <v>1.975</v>
      </c>
      <c r="AJ63" s="4">
        <f t="shared" si="9"/>
        <v>2.1136826920365235</v>
      </c>
      <c r="AK63" s="4">
        <f>120*(AI63/AI254)^-0.055</f>
        <v>123.69960739219069</v>
      </c>
      <c r="AL63" s="4">
        <f t="shared" si="0"/>
        <v>-0.1386826920365234</v>
      </c>
      <c r="AM63" s="5">
        <f t="shared" si="23"/>
        <v>261.46171915658664</v>
      </c>
      <c r="AN63" s="26">
        <f>0.12*(SQRT(AM63)-SQRT(B13))</f>
        <v>-0.03871734553846878</v>
      </c>
      <c r="AO63" s="4">
        <f t="shared" si="10"/>
        <v>1.5006560047122297</v>
      </c>
      <c r="AP63" s="21">
        <v>0</v>
      </c>
      <c r="AQ63" s="21">
        <f>0.54*(Z63-Z54)+AQ54</f>
        <v>27.86</v>
      </c>
      <c r="AR63" s="21">
        <f t="shared" si="12"/>
        <v>4.130000000000001</v>
      </c>
      <c r="AS63" s="35">
        <f t="shared" si="13"/>
        <v>0.17130743349930827</v>
      </c>
      <c r="AT63" s="36">
        <f>-0.32*LN(AF63/AF254)+0.0042*(AI63-AI254)-0.000105*(AQ63-AQ254)-0.000315*(AR63-AR254)</f>
        <v>0.4059023489792611</v>
      </c>
      <c r="AU63" s="4">
        <f>AU254+5*LN(AF63/AF254)+0.125*(AP63-AP254)+0.0011*(AQ63-AQ254)+0.0033*(AR63-AR254)</f>
        <v>24.484674078449046</v>
      </c>
      <c r="AV63" s="4">
        <f>0.042*(AU63-B14)</f>
        <v>-0.02164368870514005</v>
      </c>
      <c r="AW63" s="4">
        <f>0.05*0.036*(SQRT(AF63)-SQRT(B12))</f>
        <v>-0.0003996144262299857</v>
      </c>
      <c r="AX63" s="21">
        <v>0</v>
      </c>
      <c r="AY63" s="36">
        <f>-0.4*(AX63/AX254)</f>
        <v>0</v>
      </c>
      <c r="AZ63" s="36">
        <f>-0.8*LN((B15+AX63)/B15)*(LN((B15+AX254)/B15))^-1</f>
        <v>0</v>
      </c>
      <c r="BA63" s="36">
        <f>-0.1*(AQ63/AQ254)</f>
        <v>-0.0032022988505747128</v>
      </c>
      <c r="BB63" s="6">
        <f t="shared" si="14"/>
        <v>-0.06369353902034265</v>
      </c>
      <c r="BC63" s="6">
        <f t="shared" si="24"/>
        <v>0.0029940980950813323</v>
      </c>
      <c r="BD63" s="4">
        <f t="shared" si="15"/>
        <v>0.850317363724433</v>
      </c>
      <c r="BE63" s="4">
        <f>SUMPRODUCT(BC$4:BC63,$BD$295:BD$354)</f>
        <v>-0.059074762243114746</v>
      </c>
      <c r="BF63" s="23">
        <f>BE63*B7</f>
        <v>-0.059074762243114746</v>
      </c>
      <c r="BG63" s="48"/>
    </row>
    <row r="64" spans="5:59" ht="15">
      <c r="E64" s="1">
        <f t="shared" si="16"/>
        <v>60</v>
      </c>
      <c r="F64" s="1">
        <f t="shared" si="1"/>
        <v>1810</v>
      </c>
      <c r="G64" s="3">
        <v>0</v>
      </c>
      <c r="H64" s="3">
        <f t="shared" si="31"/>
        <v>0.05000000000000001</v>
      </c>
      <c r="I64" s="5">
        <f t="shared" si="18"/>
        <v>0.007550805134645805</v>
      </c>
      <c r="J64" s="5">
        <f t="shared" si="19"/>
        <v>0.015099148980647879</v>
      </c>
      <c r="K64" s="4">
        <f t="shared" si="2"/>
        <v>0.02735004588470633</v>
      </c>
      <c r="L64" s="4">
        <f t="shared" si="3"/>
        <v>0.0001613513534909486</v>
      </c>
      <c r="M64" s="4">
        <f>60*B8*LN(U64/U4)</f>
        <v>0.028231395816077556</v>
      </c>
      <c r="N64" s="4">
        <f t="shared" si="20"/>
        <v>4.555173925862817E-06</v>
      </c>
      <c r="O64" s="4">
        <f>SUMPRODUCT($M$4:M64,L$294:$L$354)</f>
        <v>0.01220103651522451</v>
      </c>
      <c r="P64" s="4">
        <f t="shared" si="21"/>
        <v>0.016030359300853045</v>
      </c>
      <c r="Q64" s="4">
        <f>(B5/(B4*B6))*W63</f>
        <v>0.783848537819223</v>
      </c>
      <c r="R64" s="4">
        <f>(1.558-1.399*B3*0.01)*Q64+(7.4706-0.20207*B3)*0.001*Q64^2-(1.2748-0.12015*B3)*0.00001*Q64^3+(2.4491-0.12639*B3)*0.0000001*Q64^4-(1.5468-0.15326*B3)*0.0000000001*Q64^5</f>
        <v>1.023988916548122</v>
      </c>
      <c r="S64" s="4">
        <f t="shared" si="27"/>
        <v>0.033693865054302025</v>
      </c>
      <c r="T64" s="5">
        <f>(T4+R64)*EXP(0.0423*BF63)</f>
        <v>280.3226252956619</v>
      </c>
      <c r="U64" s="4">
        <f t="shared" si="25"/>
        <v>280.4594235854266</v>
      </c>
      <c r="V64" s="4">
        <f t="shared" si="4"/>
        <v>0.0005087486881887516</v>
      </c>
      <c r="W64" s="4">
        <f>SUMPRODUCT($J$4:J64,$S$294:S$354)</f>
        <v>0.12453968557141024</v>
      </c>
      <c r="X64" s="6">
        <f>5.35*LN(U64/U4)</f>
        <v>0.00877107825876974</v>
      </c>
      <c r="Y64" s="4">
        <f t="shared" si="5"/>
        <v>1810</v>
      </c>
      <c r="Z64" s="4">
        <f t="shared" si="22"/>
        <v>60</v>
      </c>
      <c r="AA64" s="21">
        <f t="shared" si="6"/>
        <v>22.2</v>
      </c>
      <c r="AB64" s="6">
        <f>AA64+B16</f>
        <v>128.5353745</v>
      </c>
      <c r="AC64" s="24">
        <f t="shared" si="26"/>
        <v>125.44516490851964</v>
      </c>
      <c r="AD64" s="4">
        <f t="shared" si="29"/>
        <v>5.8450843959258165</v>
      </c>
      <c r="AE64" s="4">
        <f t="shared" si="8"/>
        <v>3.0902095914803454</v>
      </c>
      <c r="AF64" s="6">
        <f t="shared" si="30"/>
        <v>733.237575951129</v>
      </c>
      <c r="AG64" s="30">
        <f>0.036*(SQRT(AF64)-SQRT(B12))</f>
        <v>-0.005939564112240802</v>
      </c>
      <c r="AH64" s="27">
        <v>0</v>
      </c>
      <c r="AI64" s="47">
        <f>AH64+B17</f>
        <v>1.975</v>
      </c>
      <c r="AJ64" s="4">
        <f t="shared" si="9"/>
        <v>2.11256156728148</v>
      </c>
      <c r="AK64" s="4">
        <f>120*(AI64/AI254)^-0.055</f>
        <v>123.69960739219069</v>
      </c>
      <c r="AL64" s="4">
        <f t="shared" si="0"/>
        <v>-0.13756156728147984</v>
      </c>
      <c r="AM64" s="5">
        <f t="shared" si="23"/>
        <v>261.3230364645501</v>
      </c>
      <c r="AN64" s="26">
        <f>0.12*(SQRT(AM64)-SQRT(B13))</f>
        <v>-0.03923201340984661</v>
      </c>
      <c r="AO64" s="4">
        <f t="shared" si="10"/>
        <v>1.4985148253945169</v>
      </c>
      <c r="AP64" s="21">
        <v>0</v>
      </c>
      <c r="AQ64" s="21">
        <f>0.54*(Z64-Z54)+AQ54</f>
        <v>28.4</v>
      </c>
      <c r="AR64" s="21">
        <f t="shared" si="12"/>
        <v>4.2</v>
      </c>
      <c r="AS64" s="35">
        <f t="shared" si="13"/>
        <v>0.17108392835132155</v>
      </c>
      <c r="AT64" s="36">
        <f>-0.32*LN(AF64/AF254)+0.0042*(AI64-AI254)-0.000105*(AQ64-AQ254)-0.000315*(AR64-AR254)</f>
        <v>0.40447450121547496</v>
      </c>
      <c r="AU64" s="4">
        <f>AU254+5*LN(AF64/AF254)+0.125*(AP64-AP254)+0.0011*(AQ64-AQ254)+0.0033*(AR64-AR254)</f>
        <v>24.506578731008204</v>
      </c>
      <c r="AV64" s="4">
        <f>0.042*(AU64-B14)</f>
        <v>-0.020723693297655416</v>
      </c>
      <c r="AW64" s="4">
        <f>0.05*0.036*(SQRT(AF64)-SQRT(B12))</f>
        <v>-0.00029697820561204013</v>
      </c>
      <c r="AX64" s="21">
        <v>0</v>
      </c>
      <c r="AY64" s="36">
        <f>-0.4*(AX64/AX254)</f>
        <v>0</v>
      </c>
      <c r="AZ64" s="36">
        <f>-0.8*LN((B15+AX64)/B15)*(LN((B15+AX254)/B15))^-1</f>
        <v>0</v>
      </c>
      <c r="BA64" s="36">
        <f>-0.1*(AQ64/AQ254)</f>
        <v>-0.003264367816091954</v>
      </c>
      <c r="BB64" s="6">
        <f t="shared" si="14"/>
        <v>-0.060685538582677084</v>
      </c>
      <c r="BC64" s="6">
        <f t="shared" si="24"/>
        <v>0.0030080004376655672</v>
      </c>
      <c r="BD64" s="4">
        <f t="shared" si="15"/>
        <v>0.8499767889618883</v>
      </c>
      <c r="BE64" s="4">
        <f>SUMPRODUCT(BC$4:BC64,$BD$294:BD$354)</f>
        <v>-0.05745055831774513</v>
      </c>
      <c r="BF64" s="23">
        <f>BE64*B7</f>
        <v>-0.05745055831774513</v>
      </c>
      <c r="BG64" s="48"/>
    </row>
    <row r="65" spans="5:59" ht="15">
      <c r="E65" s="1">
        <f t="shared" si="16"/>
        <v>61</v>
      </c>
      <c r="F65" s="1">
        <f t="shared" si="1"/>
        <v>1811</v>
      </c>
      <c r="G65" s="3">
        <v>0</v>
      </c>
      <c r="H65" s="3">
        <f t="shared" si="31"/>
        <v>0.05100000000000001</v>
      </c>
      <c r="I65" s="5">
        <f t="shared" si="18"/>
        <v>0.00789372569205333</v>
      </c>
      <c r="J65" s="5">
        <f t="shared" si="19"/>
        <v>0.015119926993640453</v>
      </c>
      <c r="K65" s="4">
        <f t="shared" si="2"/>
        <v>0.02798634731430623</v>
      </c>
      <c r="L65" s="4">
        <f t="shared" si="3"/>
        <v>0.00016297324042554792</v>
      </c>
      <c r="M65" s="4">
        <f>60*B8*LN(U65/U4)</f>
        <v>0.02991058641526216</v>
      </c>
      <c r="N65" s="4">
        <f t="shared" si="20"/>
        <v>4.874625191123648E-06</v>
      </c>
      <c r="O65" s="4">
        <f>SUMPRODUCT($M$4:M65,L$293:$L$354)</f>
        <v>0.013152206771032937</v>
      </c>
      <c r="P65" s="4">
        <f t="shared" si="21"/>
        <v>0.016758379644229222</v>
      </c>
      <c r="Q65" s="4">
        <f>(B5/(B4*B6))*W64</f>
        <v>0.7898981162208782</v>
      </c>
      <c r="R65" s="4">
        <f>(1.558-1.399*B3*0.01)*Q65+(7.4706-0.20207*B3)*0.001*Q65^2-(1.2748-0.12015*B3)*0.00001*Q65^3+(2.4491-0.12639*B3)*0.0000001*Q65^4-(1.5468-0.15326*B3)*0.0000000001*Q65^5</f>
        <v>1.0319100413629856</v>
      </c>
      <c r="S65" s="4">
        <f t="shared" si="27"/>
        <v>0.033746029810739056</v>
      </c>
      <c r="T65" s="5">
        <f>(T4+R65)*EXP(0.0423*BF64)</f>
        <v>280.3497870927489</v>
      </c>
      <c r="U65" s="4">
        <f t="shared" si="25"/>
        <v>280.4867736313113</v>
      </c>
      <c r="V65" s="4">
        <f t="shared" si="4"/>
        <v>0.0005102375070635889</v>
      </c>
      <c r="W65" s="4">
        <f>SUMPRODUCT($J$4:J65,$S$293:S$354)</f>
        <v>0.1255096923633431</v>
      </c>
      <c r="X65" s="6">
        <f>5.35*LN(U65/U4)</f>
        <v>0.009292778009387489</v>
      </c>
      <c r="Y65" s="4">
        <f t="shared" si="5"/>
        <v>1811</v>
      </c>
      <c r="Z65" s="4">
        <f t="shared" si="22"/>
        <v>61</v>
      </c>
      <c r="AA65" s="21">
        <f t="shared" si="6"/>
        <v>22.57</v>
      </c>
      <c r="AB65" s="6">
        <f>AA65+B16</f>
        <v>128.9053745</v>
      </c>
      <c r="AC65" s="24">
        <f t="shared" si="26"/>
        <v>125.8098914716513</v>
      </c>
      <c r="AD65" s="4">
        <f t="shared" si="29"/>
        <v>5.8527018577750365</v>
      </c>
      <c r="AE65" s="4">
        <f t="shared" si="8"/>
        <v>3.0954830283486956</v>
      </c>
      <c r="AF65" s="6">
        <f t="shared" si="30"/>
        <v>736.3277855426093</v>
      </c>
      <c r="AG65" s="30">
        <f>0.036*(SQRT(AF65)-SQRT(B12))</f>
        <v>-0.0038875458301532</v>
      </c>
      <c r="AH65" s="27">
        <v>0</v>
      </c>
      <c r="AI65" s="47">
        <f>AH65+B17</f>
        <v>1.975</v>
      </c>
      <c r="AJ65" s="4">
        <f t="shared" si="9"/>
        <v>2.1114495058111045</v>
      </c>
      <c r="AK65" s="4">
        <f>120*(AI65/AI254)^-0.055</f>
        <v>123.69960739219069</v>
      </c>
      <c r="AL65" s="4">
        <f t="shared" si="0"/>
        <v>-0.13644950581110438</v>
      </c>
      <c r="AM65" s="5">
        <f t="shared" si="23"/>
        <v>261.18547489726865</v>
      </c>
      <c r="AN65" s="26">
        <f>0.12*(SQRT(AM65)-SQRT(B13))</f>
        <v>-0.03974265558643381</v>
      </c>
      <c r="AO65" s="4">
        <f t="shared" si="10"/>
        <v>1.4963816399613847</v>
      </c>
      <c r="AP65" s="21">
        <v>0</v>
      </c>
      <c r="AQ65" s="21">
        <f>0.54*(Z65-Z54)+AQ54</f>
        <v>28.94</v>
      </c>
      <c r="AR65" s="21">
        <f t="shared" si="12"/>
        <v>4.2700000000000005</v>
      </c>
      <c r="AS65" s="35">
        <f t="shared" si="13"/>
        <v>0.17086125763805096</v>
      </c>
      <c r="AT65" s="36">
        <f>-0.32*LN(AF65/AF254)+0.0042*(AI65-AI254)-0.000105*(AQ65-AQ254)-0.000315*(AR65-AR254)</f>
        <v>0.40304995394410603</v>
      </c>
      <c r="AU65" s="4">
        <f>AU254+5*LN(AF65/AF254)+0.125*(AP65-AP254)+0.0011*(AQ65-AQ254)+0.0033*(AR65-AR254)</f>
        <v>24.52843181337334</v>
      </c>
      <c r="AV65" s="4">
        <f>0.042*(AU65-B14)</f>
        <v>-0.01980586383831966</v>
      </c>
      <c r="AW65" s="4">
        <f>0.05*0.036*(SQRT(AF65)-SQRT(B12))</f>
        <v>-0.00019437729150766002</v>
      </c>
      <c r="AX65" s="21">
        <v>0</v>
      </c>
      <c r="AY65" s="36">
        <f>-0.4*(AX65/AX254)</f>
        <v>0</v>
      </c>
      <c r="AZ65" s="36">
        <f>-0.8*LN((B15+AX65)/B15)*(LN((B15+AX254)/B15))^-1</f>
        <v>0</v>
      </c>
      <c r="BA65" s="36">
        <f>-0.1*(AQ65/AQ254)</f>
        <v>-0.0033264367816091957</v>
      </c>
      <c r="BB65" s="6">
        <f t="shared" si="14"/>
        <v>-0.057664101318636043</v>
      </c>
      <c r="BC65" s="6">
        <f t="shared" si="24"/>
        <v>0.003021437264041041</v>
      </c>
      <c r="BD65" s="4">
        <f t="shared" si="15"/>
        <v>0.8496354392795917</v>
      </c>
      <c r="BE65" s="4">
        <f>SUMPRODUCT(BC$4:BC65,$BD$293:BD$354)</f>
        <v>-0.05579139463122395</v>
      </c>
      <c r="BF65" s="23">
        <f>BE65*B7</f>
        <v>-0.05579139463122395</v>
      </c>
      <c r="BG65" s="48"/>
    </row>
    <row r="66" spans="5:59" ht="15">
      <c r="E66" s="1">
        <f t="shared" si="16"/>
        <v>62</v>
      </c>
      <c r="F66" s="1">
        <f t="shared" si="1"/>
        <v>1812</v>
      </c>
      <c r="G66" s="3">
        <v>0</v>
      </c>
      <c r="H66" s="3">
        <f t="shared" si="31"/>
        <v>0.05200000000000001</v>
      </c>
      <c r="I66" s="5">
        <f t="shared" si="18"/>
        <v>0.008239470383164292</v>
      </c>
      <c r="J66" s="5">
        <f t="shared" si="19"/>
        <v>0.015150063875937972</v>
      </c>
      <c r="K66" s="4">
        <f t="shared" si="2"/>
        <v>0.028610465740897748</v>
      </c>
      <c r="L66" s="4">
        <f t="shared" si="3"/>
        <v>0.0001646114418929437</v>
      </c>
      <c r="M66" s="4">
        <f>60*B8*LN(U66/U4)</f>
        <v>0.031628674057737234</v>
      </c>
      <c r="N66" s="4">
        <f t="shared" si="20"/>
        <v>5.206441641806068E-06</v>
      </c>
      <c r="O66" s="4">
        <f>SUMPRODUCT($M$4:M66,L$292:$L$354)</f>
        <v>0.014136278434279443</v>
      </c>
      <c r="P66" s="4">
        <f t="shared" si="21"/>
        <v>0.017492395623457793</v>
      </c>
      <c r="Q66" s="4">
        <f>(B5/(B4*B6))*W65</f>
        <v>0.7960504244923641</v>
      </c>
      <c r="R66" s="4">
        <f>(1.558-1.399*B3*0.01)*Q66+(7.4706-0.20207*B3)*0.001*Q66^2-(1.2748-0.12015*B3)*0.00001*Q66^3+(2.4491-0.12639*B3)*0.0000001*Q66^4-(1.5468-0.15326*B3)*0.0000000001*Q66^5</f>
        <v>1.0399659637501883</v>
      </c>
      <c r="S66" s="4">
        <f t="shared" si="27"/>
        <v>0.033798503974111736</v>
      </c>
      <c r="T66" s="5">
        <f>(T4+R66)*EXP(0.0423*BF65)</f>
        <v>280.3775003999096</v>
      </c>
      <c r="U66" s="4">
        <f t="shared" si="25"/>
        <v>280.5147599786256</v>
      </c>
      <c r="V66" s="4">
        <f t="shared" si="4"/>
        <v>0.0005120494941189362</v>
      </c>
      <c r="W66" s="4">
        <f>SUMPRODUCT($J$4:J66,$S$292:S$354)</f>
        <v>0.12649748225706703</v>
      </c>
      <c r="X66" s="6">
        <f>5.35*LN(U66/U4)</f>
        <v>0.009826562497612904</v>
      </c>
      <c r="Y66" s="4">
        <f t="shared" si="5"/>
        <v>1812</v>
      </c>
      <c r="Z66" s="4">
        <f t="shared" si="22"/>
        <v>62</v>
      </c>
      <c r="AA66" s="21">
        <f t="shared" si="6"/>
        <v>22.94</v>
      </c>
      <c r="AB66" s="6">
        <f>AA66+B16</f>
        <v>129.2753745</v>
      </c>
      <c r="AC66" s="24">
        <f t="shared" si="26"/>
        <v>126.17476289776738</v>
      </c>
      <c r="AD66" s="4">
        <f t="shared" si="29"/>
        <v>5.860310347244899</v>
      </c>
      <c r="AE66" s="4">
        <f t="shared" si="8"/>
        <v>3.1006116022326182</v>
      </c>
      <c r="AF66" s="6">
        <f t="shared" si="30"/>
        <v>739.4232685709579</v>
      </c>
      <c r="AG66" s="30">
        <f>0.036*(SQRT(AF66)-SQRT(B12))</f>
        <v>-0.0018363382253627945</v>
      </c>
      <c r="AH66" s="27">
        <v>0</v>
      </c>
      <c r="AI66" s="47">
        <f>AH66+B17</f>
        <v>1.975</v>
      </c>
      <c r="AJ66" s="4">
        <f t="shared" si="9"/>
        <v>2.1103464343568956</v>
      </c>
      <c r="AK66" s="4">
        <f>120*(AI66/AI254)^-0.055</f>
        <v>123.69960739219069</v>
      </c>
      <c r="AL66" s="4">
        <f t="shared" si="0"/>
        <v>-0.13534643435689553</v>
      </c>
      <c r="AM66" s="5">
        <f t="shared" si="23"/>
        <v>261.0490253914575</v>
      </c>
      <c r="AN66" s="26">
        <f>0.12*(SQRT(AM66)-SQRT(B13))</f>
        <v>-0.040249302544461615</v>
      </c>
      <c r="AO66" s="4">
        <f t="shared" si="10"/>
        <v>1.4942565029457469</v>
      </c>
      <c r="AP66" s="21">
        <v>0</v>
      </c>
      <c r="AQ66" s="21">
        <f>0.54*(Z66-Z54)+AQ54</f>
        <v>29.48</v>
      </c>
      <c r="AR66" s="21">
        <f t="shared" si="12"/>
        <v>4.340000000000001</v>
      </c>
      <c r="AS66" s="35">
        <f t="shared" si="13"/>
        <v>0.17063942705186746</v>
      </c>
      <c r="AT66" s="36">
        <f>-0.32*LN(AF66/AF254)+0.0042*(AI66-AI254)-0.000105*(AQ66-AQ254)-0.000315*(AR66-AR254)</f>
        <v>0.40162876069251024</v>
      </c>
      <c r="AU66" s="4">
        <f>AU254+5*LN(AF66/AF254)+0.125*(AP66-AP254)+0.0011*(AQ66-AQ254)+0.0033*(AR66-AR254)</f>
        <v>24.550232489179525</v>
      </c>
      <c r="AV66" s="4">
        <f>0.042*(AU66-B14)</f>
        <v>-0.018890235454459964</v>
      </c>
      <c r="AW66" s="4">
        <f>0.05*0.036*(SQRT(AF66)-SQRT(B12))</f>
        <v>-9.181691126813973E-05</v>
      </c>
      <c r="AX66" s="21">
        <v>0</v>
      </c>
      <c r="AY66" s="36">
        <f>-0.4*(AX66/AX254)</f>
        <v>0</v>
      </c>
      <c r="AZ66" s="36">
        <f>-0.8*LN((B15+AX66)/B15)*(LN((B15+AX254)/B15))^-1</f>
        <v>0</v>
      </c>
      <c r="BA66" s="36">
        <f>-0.1*(AQ66/AQ254)</f>
        <v>-0.003388505747126437</v>
      </c>
      <c r="BB66" s="6">
        <f t="shared" si="14"/>
        <v>-0.054629636385066044</v>
      </c>
      <c r="BC66" s="6">
        <f t="shared" si="24"/>
        <v>0.0030344649335699997</v>
      </c>
      <c r="BD66" s="4">
        <f t="shared" si="15"/>
        <v>0.8492933129139314</v>
      </c>
      <c r="BE66" s="4">
        <f>SUMPRODUCT(BC$4:BC66,$BD$292:BD$354)</f>
        <v>-0.054098836301627415</v>
      </c>
      <c r="BF66" s="23">
        <f>BE66*B7</f>
        <v>-0.054098836301627415</v>
      </c>
      <c r="BG66" s="48"/>
    </row>
    <row r="67" spans="5:59" ht="15">
      <c r="E67" s="1">
        <f t="shared" si="16"/>
        <v>63</v>
      </c>
      <c r="F67" s="1">
        <f t="shared" si="1"/>
        <v>1813</v>
      </c>
      <c r="G67" s="3">
        <v>0</v>
      </c>
      <c r="H67" s="3">
        <f t="shared" si="31"/>
        <v>0.05300000000000001</v>
      </c>
      <c r="I67" s="5">
        <f t="shared" si="18"/>
        <v>0.008587787457504987</v>
      </c>
      <c r="J67" s="5">
        <f t="shared" si="19"/>
        <v>0.015188794906990806</v>
      </c>
      <c r="K67" s="4">
        <f t="shared" si="2"/>
        <v>0.02922341763550422</v>
      </c>
      <c r="L67" s="4">
        <f t="shared" si="3"/>
        <v>0.00016626612258999627</v>
      </c>
      <c r="M67" s="4">
        <f>60*B8*LN(U67/U4)</f>
        <v>0.03338489928207844</v>
      </c>
      <c r="N67" s="4">
        <f t="shared" si="20"/>
        <v>5.550777756688732E-06</v>
      </c>
      <c r="O67" s="4">
        <f>SUMPRODUCT($M$4:M67,L$291:$L$354)</f>
        <v>0.015153026509795353</v>
      </c>
      <c r="P67" s="4">
        <f t="shared" si="21"/>
        <v>0.018231872772283088</v>
      </c>
      <c r="Q67" s="4">
        <f>(B5/(B4*B6))*W66</f>
        <v>0.8023155228238285</v>
      </c>
      <c r="R67" s="4">
        <f>(1.558-1.399*B3*0.01)*Q67+(7.4706-0.20207*B3)*0.001*Q67^2-(1.2748-0.12015*B3)*0.00001*Q67^3+(2.4491-0.12639*B3)*0.0000001*Q67^4-(1.5468-0.15326*B3)*0.0000000001*Q67^5</f>
        <v>1.048169871865037</v>
      </c>
      <c r="S67" s="4">
        <f t="shared" si="27"/>
        <v>0.033851290117298344</v>
      </c>
      <c r="T67" s="5">
        <f>(T4+R67)*EXP(0.0423*BF66)</f>
        <v>280.40575996250914</v>
      </c>
      <c r="U67" s="4">
        <f t="shared" si="25"/>
        <v>280.5433704443665</v>
      </c>
      <c r="V67" s="4">
        <f t="shared" si="4"/>
        <v>0.0005141603029286892</v>
      </c>
      <c r="W67" s="4">
        <f>SUMPRODUCT($J$4:J67,$S$291:S$354)</f>
        <v>0.12750374104894405</v>
      </c>
      <c r="X67" s="6">
        <f>5.35*LN(U67/U4)</f>
        <v>0.01037219576998372</v>
      </c>
      <c r="Y67" s="4">
        <f t="shared" si="5"/>
        <v>1813</v>
      </c>
      <c r="Z67" s="4">
        <f t="shared" si="22"/>
        <v>63</v>
      </c>
      <c r="AA67" s="21">
        <f t="shared" si="6"/>
        <v>23.31</v>
      </c>
      <c r="AB67" s="6">
        <f>AA67+B16</f>
        <v>129.6453745</v>
      </c>
      <c r="AC67" s="24">
        <f t="shared" si="26"/>
        <v>126.53976188605394</v>
      </c>
      <c r="AD67" s="4">
        <f t="shared" si="29"/>
        <v>5.867909573291403</v>
      </c>
      <c r="AE67" s="4">
        <f t="shared" si="8"/>
        <v>3.1056126139460645</v>
      </c>
      <c r="AF67" s="6">
        <f t="shared" si="30"/>
        <v>742.5238801731905</v>
      </c>
      <c r="AG67" s="30">
        <f>0.036*(SQRT(AF67)-SQRT(B12))</f>
        <v>0.00021396809568928176</v>
      </c>
      <c r="AH67" s="27">
        <v>0</v>
      </c>
      <c r="AI67" s="47">
        <f>AH67+B17</f>
        <v>1.975</v>
      </c>
      <c r="AJ67" s="4">
        <f t="shared" si="9"/>
        <v>2.1092522802426648</v>
      </c>
      <c r="AK67" s="4">
        <f>120*(AI67/AI254)^-0.055</f>
        <v>123.69960739219069</v>
      </c>
      <c r="AL67" s="4">
        <f t="shared" si="0"/>
        <v>-0.13425228024266467</v>
      </c>
      <c r="AM67" s="5">
        <f t="shared" si="23"/>
        <v>260.9136789571006</v>
      </c>
      <c r="AN67" s="26">
        <f>0.12*(SQRT(AM67)-SQRT(B13))</f>
        <v>-0.04075198454469969</v>
      </c>
      <c r="AO67" s="4">
        <f t="shared" si="10"/>
        <v>1.4921394542680275</v>
      </c>
      <c r="AP67" s="21">
        <v>0</v>
      </c>
      <c r="AQ67" s="21">
        <f>0.54*(Z67-Z54)+AQ54</f>
        <v>30.02</v>
      </c>
      <c r="AR67" s="21">
        <f t="shared" si="12"/>
        <v>4.41</v>
      </c>
      <c r="AS67" s="35">
        <f t="shared" si="13"/>
        <v>0.17041844075982995</v>
      </c>
      <c r="AT67" s="36">
        <f>-0.32*LN(AF67/AF254)+0.0042*(AI67-AI254)-0.000105*(AQ67-AQ254)-0.000315*(AR67-AR254)</f>
        <v>0.40021096542176837</v>
      </c>
      <c r="AU67" s="4">
        <f>AU254+5*LN(AF67/AF254)+0.125*(AP67-AP254)+0.0011*(AQ67-AQ254)+0.0033*(AR67-AR254)</f>
        <v>24.571980071534867</v>
      </c>
      <c r="AV67" s="4">
        <f>0.042*(AU67-B14)</f>
        <v>-0.017976836995535594</v>
      </c>
      <c r="AW67" s="4">
        <f>0.05*0.036*(SQRT(AF67)-SQRT(B12))</f>
        <v>1.0698404784464089E-05</v>
      </c>
      <c r="AX67" s="21">
        <v>0</v>
      </c>
      <c r="AY67" s="36">
        <f>-0.4*(AX67/AX254)</f>
        <v>0</v>
      </c>
      <c r="AZ67" s="36">
        <f>-0.8*LN((B15+AX67)/B15)*(LN((B15+AX254)/B15))^-1</f>
        <v>0</v>
      </c>
      <c r="BA67" s="36">
        <f>-0.1*(AQ67/AQ254)</f>
        <v>-0.003450574712643678</v>
      </c>
      <c r="BB67" s="6">
        <f t="shared" si="14"/>
        <v>-0.051582533982421505</v>
      </c>
      <c r="BC67" s="6">
        <f t="shared" si="24"/>
        <v>0.0030471024026445387</v>
      </c>
      <c r="BD67" s="4">
        <f t="shared" si="15"/>
        <v>0.8489504080972516</v>
      </c>
      <c r="BE67" s="4">
        <f>SUMPRODUCT(BC$4:BC67,$BD$291:BD$354)</f>
        <v>-0.052374362929749396</v>
      </c>
      <c r="BF67" s="23">
        <f>BE67*B7</f>
        <v>-0.052374362929749396</v>
      </c>
      <c r="BG67" s="48"/>
    </row>
    <row r="68" spans="5:59" ht="15">
      <c r="E68" s="1">
        <f t="shared" si="16"/>
        <v>64</v>
      </c>
      <c r="F68" s="1">
        <f t="shared" si="1"/>
        <v>1814</v>
      </c>
      <c r="G68" s="3">
        <v>0</v>
      </c>
      <c r="H68" s="3">
        <f t="shared" si="31"/>
        <v>0.05400000000000001</v>
      </c>
      <c r="I68" s="5">
        <f t="shared" si="18"/>
        <v>0.008938466798518186</v>
      </c>
      <c r="J68" s="5">
        <f t="shared" si="19"/>
        <v>0.01523617899856537</v>
      </c>
      <c r="K68" s="4">
        <f t="shared" si="2"/>
        <v>0.029825354202916453</v>
      </c>
      <c r="L68" s="4">
        <f t="shared" si="3"/>
        <v>0.00016793744890638288</v>
      </c>
      <c r="M68" s="4">
        <f>60*B8*LN(U68/U4)</f>
        <v>0.035178565062948454</v>
      </c>
      <c r="N68" s="4">
        <f t="shared" si="20"/>
        <v>5.907798472858772E-06</v>
      </c>
      <c r="O68" s="4">
        <f>SUMPRODUCT($M$4:M68,L$290:$L$354)</f>
        <v>0.016202200049694342</v>
      </c>
      <c r="P68" s="4">
        <f t="shared" si="21"/>
        <v>0.01897636501325411</v>
      </c>
      <c r="Q68" s="4">
        <f>(B5/(B4*B6))*W67</f>
        <v>0.8086977609071148</v>
      </c>
      <c r="R68" s="4">
        <f>(1.558-1.399*B3*0.01)*Q68+(7.4706-0.20207*B3)*0.001*Q68^2-(1.2748-0.12015*B3)*0.00001*Q68^3+(2.4491-0.12639*B3)*0.0000001*Q68^4-(1.5468-0.15326*B3)*0.0000000001*Q68^5</f>
        <v>1.0565274779672587</v>
      </c>
      <c r="S68" s="4">
        <f t="shared" si="27"/>
        <v>0.03390439084251588</v>
      </c>
      <c r="T68" s="5">
        <f>(T4+R68)*EXP(0.0423*BF67)</f>
        <v>280.43455408027495</v>
      </c>
      <c r="U68" s="4">
        <f t="shared" si="25"/>
        <v>280.57259386200195</v>
      </c>
      <c r="V68" s="4">
        <f aca="true" t="shared" si="32" ref="V68:V131">J68*S68</f>
        <v>0.0005165733677138925</v>
      </c>
      <c r="W68" s="4">
        <f>SUMPRODUCT($J$4:J68,$S$290:S$354)</f>
        <v>0.12852964947479825</v>
      </c>
      <c r="X68" s="6">
        <f>5.35*LN(U68/U4)</f>
        <v>0.010929461271008956</v>
      </c>
      <c r="Y68" s="4">
        <f t="shared" si="5"/>
        <v>1814</v>
      </c>
      <c r="Z68" s="4">
        <f t="shared" si="22"/>
        <v>64</v>
      </c>
      <c r="AA68" s="21">
        <f t="shared" si="6"/>
        <v>23.68</v>
      </c>
      <c r="AB68" s="6">
        <f>AA68+B16</f>
        <v>130.0153745</v>
      </c>
      <c r="AC68" s="24">
        <f aca="true" t="shared" si="33" ref="AC68:AC131">AF68/AD68</f>
        <v>126.90487330324196</v>
      </c>
      <c r="AD68" s="4">
        <f aca="true" t="shared" si="34" ref="AD68:AD131">1/AS68</f>
        <v>5.875499288395637</v>
      </c>
      <c r="AE68" s="4">
        <f aca="true" t="shared" si="35" ref="AE68:AE131">AB68-AC68</f>
        <v>3.110501196758051</v>
      </c>
      <c r="AF68" s="6">
        <f t="shared" si="30"/>
        <v>745.6294927871365</v>
      </c>
      <c r="AG68" s="30">
        <f>0.036*(SQRT(AF68)-SQRT(B12))</f>
        <v>0.002263294684689839</v>
      </c>
      <c r="AH68" s="27">
        <v>0</v>
      </c>
      <c r="AI68" s="47">
        <f>AH68+B17</f>
        <v>1.975</v>
      </c>
      <c r="AJ68" s="4">
        <f aca="true" t="shared" si="36" ref="AJ68:AJ131">AM68/AK68</f>
        <v>2.1081669713797435</v>
      </c>
      <c r="AK68" s="4">
        <f>120*(AI68/AI254)^-0.055</f>
        <v>123.69960739219069</v>
      </c>
      <c r="AL68" s="4">
        <f aca="true" t="shared" si="37" ref="AL68:AL131">AI68-AJ68</f>
        <v>-0.13316697137974343</v>
      </c>
      <c r="AM68" s="5">
        <f t="shared" si="23"/>
        <v>260.77942667685795</v>
      </c>
      <c r="AN68" s="26">
        <f>0.12*(SQRT(AM68)-SQRT(B13))</f>
        <v>-0.04125073163375134</v>
      </c>
      <c r="AO68" s="4">
        <f aca="true" t="shared" si="38" ref="AO68:AO131">EXP(AT68)</f>
        <v>1.490030521219666</v>
      </c>
      <c r="AP68" s="21">
        <v>0</v>
      </c>
      <c r="AQ68" s="21">
        <f>0.54*(Z68-Z54)+AQ54</f>
        <v>30.560000000000002</v>
      </c>
      <c r="AR68" s="21">
        <f t="shared" si="12"/>
        <v>4.48</v>
      </c>
      <c r="AS68" s="35">
        <f aca="true" t="shared" si="39" ref="AS68:AS131">AO68/9.58+1/68.2</f>
        <v>0.17019830161073168</v>
      </c>
      <c r="AT68" s="36">
        <f>-0.32*LN(AF68/AF254)+0.0042*(AI68-AI254)-0.000105*(AQ68-AQ254)-0.000315*(AR68-AR254)</f>
        <v>0.398796603787617</v>
      </c>
      <c r="AU68" s="4">
        <f>AU254+5*LN(AF68/AF254)+0.125*(AP68-AP254)+0.0011*(AQ68-AQ254)+0.0033*(AR68-AR254)</f>
        <v>24.593674003318487</v>
      </c>
      <c r="AV68" s="4">
        <f>0.042*(AU68-B14)</f>
        <v>-0.017065691860623552</v>
      </c>
      <c r="AW68" s="4">
        <f>0.05*0.036*(SQRT(AF68)-SQRT(B12))</f>
        <v>0.00011316473423449196</v>
      </c>
      <c r="AX68" s="21">
        <v>0</v>
      </c>
      <c r="AY68" s="36">
        <f>-0.4*(AX68/AX254)</f>
        <v>0</v>
      </c>
      <c r="AZ68" s="36">
        <f>-0.8*LN((B15+AX68)/B15)*(LN((B15+AX254)/B15))^-1</f>
        <v>0</v>
      </c>
      <c r="BA68" s="36">
        <f>-0.1*(AQ68/AQ254)</f>
        <v>-0.00351264367816092</v>
      </c>
      <c r="BB68" s="6">
        <f t="shared" si="14"/>
        <v>-0.04852314648260253</v>
      </c>
      <c r="BC68" s="6">
        <f t="shared" si="24"/>
        <v>0.0030593874998189746</v>
      </c>
      <c r="BD68" s="4">
        <f t="shared" si="15"/>
        <v>0.848606723057842</v>
      </c>
      <c r="BE68" s="4">
        <f>SUMPRODUCT(BC$4:BC68,$BD$290:BD$354)</f>
        <v>-0.05061937343895188</v>
      </c>
      <c r="BF68" s="23">
        <f>BE68*B7</f>
        <v>-0.05061937343895188</v>
      </c>
      <c r="BG68" s="48"/>
    </row>
    <row r="69" spans="5:59" ht="15">
      <c r="E69" s="1">
        <f t="shared" si="16"/>
        <v>65</v>
      </c>
      <c r="F69" s="1">
        <f aca="true" t="shared" si="40" ref="F69:F132">1750+E69</f>
        <v>1815</v>
      </c>
      <c r="G69" s="3">
        <v>0</v>
      </c>
      <c r="H69" s="3">
        <f t="shared" si="31"/>
        <v>0.055000000000000014</v>
      </c>
      <c r="I69" s="5">
        <f aca="true" t="shared" si="41" ref="I69:I132">P69/2.123</f>
        <v>0.009291310351273379</v>
      </c>
      <c r="J69" s="5">
        <f t="shared" si="19"/>
        <v>0.015291733494898676</v>
      </c>
      <c r="K69" s="4">
        <f aca="true" t="shared" si="42" ref="K69:K132">G69+H69-I69-J69</f>
        <v>0.030416956153827963</v>
      </c>
      <c r="L69" s="4">
        <f aca="true" t="shared" si="43" ref="L69:L132">0.70211*EXP(-0.35*(350-E69))+0.013414*EXP(-(350-E69)/20)-0.71846*EXP(-55*(350-E69)/120)+0.0029323*EXP(-(350-E69)/100)</f>
        <v>0.00016962558894353748</v>
      </c>
      <c r="M69" s="4">
        <f>60*B8*LN(U69/U4)</f>
        <v>0.03700898369488385</v>
      </c>
      <c r="N69" s="4">
        <f aca="true" t="shared" si="44" ref="N69:N132">L69*M69</f>
        <v>6.277670655446448E-06</v>
      </c>
      <c r="O69" s="4">
        <f>SUMPRODUCT($M$4:M69,L$289:$L$354)</f>
        <v>0.017283531819130463</v>
      </c>
      <c r="P69" s="4">
        <f aca="true" t="shared" si="45" ref="P69:P132">M69-O69</f>
        <v>0.019725451875753384</v>
      </c>
      <c r="Q69" s="4">
        <f>(B5/(B4*B6))*W68</f>
        <v>0.8152046276081127</v>
      </c>
      <c r="R69" s="4">
        <f>(1.558-1.399*B3*0.01)*Q69+(7.4706-0.20207*B3)*0.001*Q69^2-(1.2748-0.12015*B3)*0.00001*Q69^3+(2.4491-0.12639*B3)*0.0000001*Q69^4-(1.5468-0.15326*B3)*0.0000000001*Q69^5</f>
        <v>1.065048606484631</v>
      </c>
      <c r="S69" s="4">
        <f t="shared" si="27"/>
        <v>0.033957808781719175</v>
      </c>
      <c r="T69" s="5">
        <f>(T4+R69)*EXP(0.0423*BF68)</f>
        <v>280.46387611074107</v>
      </c>
      <c r="U69" s="4">
        <f aca="true" t="shared" si="46" ref="U69:U132">U68+K68</f>
        <v>280.60241921620485</v>
      </c>
      <c r="V69" s="4">
        <f t="shared" si="32"/>
        <v>0.0005192737619607795</v>
      </c>
      <c r="W69" s="4">
        <f>SUMPRODUCT($J$4:J69,$S$289:S$354)</f>
        <v>0.12957592798091003</v>
      </c>
      <c r="X69" s="6">
        <f>5.35*LN(U69/U4)</f>
        <v>0.011498145340744982</v>
      </c>
      <c r="Y69" s="4">
        <f aca="true" t="shared" si="47" ref="Y69:Y132">1750+Z69</f>
        <v>1815</v>
      </c>
      <c r="Z69" s="4">
        <f t="shared" si="22"/>
        <v>65</v>
      </c>
      <c r="AA69" s="21">
        <f aca="true" t="shared" si="48" ref="AA69:AA132">0.37*Z69</f>
        <v>24.05</v>
      </c>
      <c r="AB69" s="6">
        <f>AA69+B16</f>
        <v>130.3853745</v>
      </c>
      <c r="AC69" s="24">
        <f t="shared" si="33"/>
        <v>127.2700839092081</v>
      </c>
      <c r="AD69" s="4">
        <f t="shared" si="34"/>
        <v>5.8830792829368335</v>
      </c>
      <c r="AE69" s="4">
        <f t="shared" si="35"/>
        <v>3.115290590791915</v>
      </c>
      <c r="AF69" s="6">
        <f t="shared" si="30"/>
        <v>748.7399939838946</v>
      </c>
      <c r="AG69" s="30">
        <f>0.036*(SQRT(AF69)-SQRT(B12))</f>
        <v>0.004311573698327236</v>
      </c>
      <c r="AH69" s="27">
        <v>0</v>
      </c>
      <c r="AI69" s="47">
        <f>AH69+B17</f>
        <v>1.975</v>
      </c>
      <c r="AJ69" s="4">
        <f t="shared" si="36"/>
        <v>2.1070904362622347</v>
      </c>
      <c r="AK69" s="4">
        <f>120*(AI69/AI254)^-0.055</f>
        <v>123.69960739219069</v>
      </c>
      <c r="AL69" s="4">
        <f t="shared" si="37"/>
        <v>-0.1320904362622346</v>
      </c>
      <c r="AM69" s="5">
        <f t="shared" si="23"/>
        <v>260.6462597054782</v>
      </c>
      <c r="AN69" s="26">
        <f>0.12*(SQRT(AM69)-SQRT(B13))</f>
        <v>-0.04174557364534607</v>
      </c>
      <c r="AO69" s="4">
        <f t="shared" si="38"/>
        <v>1.4879297201843384</v>
      </c>
      <c r="AP69" s="21">
        <v>0</v>
      </c>
      <c r="AQ69" s="21">
        <f>0.54*(Z69-Z54)+AQ54</f>
        <v>31.1</v>
      </c>
      <c r="AR69" s="21">
        <f aca="true" t="shared" si="49" ref="AR69:AR104">0.07*Z69</f>
        <v>4.550000000000001</v>
      </c>
      <c r="AS69" s="35">
        <f t="shared" si="39"/>
        <v>0.16997901131476847</v>
      </c>
      <c r="AT69" s="36">
        <f>-0.32*LN(AF69/AF254)+0.0042*(AI69-AI254)-0.000105*(AQ69-AQ254)-0.000315*(AR69-AR254)</f>
        <v>0.39738570423656616</v>
      </c>
      <c r="AU69" s="4">
        <f>AU254+5*LN(AF69/AF254)+0.125*(AP69-AP254)+0.0011*(AQ69-AQ254)+0.0033*(AR69-AR254)</f>
        <v>24.615313840053656</v>
      </c>
      <c r="AV69" s="4">
        <f>0.042*(AU69-B14)</f>
        <v>-0.01615681871774647</v>
      </c>
      <c r="AW69" s="4">
        <f>0.05*0.036*(SQRT(AF69)-SQRT(B12))</f>
        <v>0.00021557868491636184</v>
      </c>
      <c r="AX69" s="21">
        <v>0</v>
      </c>
      <c r="AY69" s="36">
        <f>-0.4*(AX69/AX254)</f>
        <v>0</v>
      </c>
      <c r="AZ69" s="36">
        <f>-0.8*LN((B15+AX69)/B15)*(LN((B15+AX254)/B15))^-1</f>
        <v>0</v>
      </c>
      <c r="BA69" s="36">
        <f>-0.1*(AQ69/AQ254)</f>
        <v>-0.003574712643678161</v>
      </c>
      <c r="BB69" s="6">
        <f aca="true" t="shared" si="50" ref="BB69:BB132">BA69+AZ69+AY69+AW69+AV69+AN69+AG69+X69</f>
        <v>-0.04545180728278212</v>
      </c>
      <c r="BC69" s="6">
        <f t="shared" si="24"/>
        <v>0.0030713391998204095</v>
      </c>
      <c r="BD69" s="4">
        <f aca="true" t="shared" si="51" ref="BD69:BD132">0.29*(1-EXP(-(350-E69)/440))+0.71*(1-EXP(-(350-E69)/14.4))</f>
        <v>0.8482622560199254</v>
      </c>
      <c r="BE69" s="4">
        <f>SUMPRODUCT(BC$4:BC69,$BD$289:BD$354)</f>
        <v>-0.04883518967811674</v>
      </c>
      <c r="BF69" s="23">
        <f>BE69*B7</f>
        <v>-0.04883518967811674</v>
      </c>
      <c r="BG69" s="48"/>
    </row>
    <row r="70" spans="5:59" ht="15">
      <c r="E70" s="1">
        <f aca="true" t="shared" si="52" ref="E70:E133">E69+1</f>
        <v>66</v>
      </c>
      <c r="F70" s="1">
        <f t="shared" si="40"/>
        <v>1816</v>
      </c>
      <c r="G70" s="3">
        <v>0</v>
      </c>
      <c r="H70" s="3">
        <f t="shared" si="31"/>
        <v>0.056000000000000015</v>
      </c>
      <c r="I70" s="5">
        <f t="shared" si="41"/>
        <v>0.00964614480228672</v>
      </c>
      <c r="J70" s="5">
        <f aca="true" t="shared" si="53" ref="J70:J133">(U70-T70)/9.06</f>
        <v>0.015355371012823941</v>
      </c>
      <c r="K70" s="4">
        <f t="shared" si="42"/>
        <v>0.030998484184889354</v>
      </c>
      <c r="L70" s="4">
        <f t="shared" si="43"/>
        <v>0.00017133071253388059</v>
      </c>
      <c r="M70" s="4">
        <f>60*B8*LN(U70/U4)</f>
        <v>0.038875509293381696</v>
      </c>
      <c r="N70" s="4">
        <f t="shared" si="44"/>
        <v>6.660568707352583E-06</v>
      </c>
      <c r="O70" s="4">
        <f>SUMPRODUCT($M$4:M70,L$288:$L$354)</f>
        <v>0.018396743878126988</v>
      </c>
      <c r="P70" s="4">
        <f t="shared" si="45"/>
        <v>0.02047876541525471</v>
      </c>
      <c r="Q70" s="4">
        <f>(B5/(B4*B6))*W69</f>
        <v>0.8218406923872084</v>
      </c>
      <c r="R70" s="4">
        <f>(1.558-1.399*B3*0.01)*Q70+(7.4706-0.20207*B3)*0.001*Q70^2-(1.2748-0.12015*B3)*0.00001*Q70^3+(2.4491-0.12639*B3)*0.0000001*Q70^4-(1.5468-0.15326*B3)*0.0000000001*Q70^5</f>
        <v>1.073739260320337</v>
      </c>
      <c r="S70" s="4">
        <f t="shared" si="27"/>
        <v>0.03401154659700602</v>
      </c>
      <c r="T70" s="5">
        <f>(T4+R70)*EXP(0.0423*BF69)</f>
        <v>280.4937165109825</v>
      </c>
      <c r="U70" s="4">
        <f t="shared" si="46"/>
        <v>280.6328361723587</v>
      </c>
      <c r="V70" s="4">
        <f t="shared" si="32"/>
        <v>0.0005222599167169769</v>
      </c>
      <c r="W70" s="4">
        <f>SUMPRODUCT($J$4:J70,$S$288:S$354)</f>
        <v>0.13064350272707412</v>
      </c>
      <c r="X70" s="6">
        <f>5.35*LN(U70/U4)</f>
        <v>0.01207804731240372</v>
      </c>
      <c r="Y70" s="4">
        <f t="shared" si="47"/>
        <v>1816</v>
      </c>
      <c r="Z70" s="4">
        <f aca="true" t="shared" si="54" ref="Z70:Z133">Z69+1</f>
        <v>66</v>
      </c>
      <c r="AA70" s="21">
        <f t="shared" si="48"/>
        <v>24.419999999999998</v>
      </c>
      <c r="AB70" s="6">
        <f>AA70+B16</f>
        <v>130.7553745</v>
      </c>
      <c r="AC70" s="24">
        <f t="shared" si="33"/>
        <v>127.6353821176226</v>
      </c>
      <c r="AD70" s="4">
        <f t="shared" si="34"/>
        <v>5.890649380293413</v>
      </c>
      <c r="AE70" s="4">
        <f t="shared" si="35"/>
        <v>3.11999238237739</v>
      </c>
      <c r="AF70" s="6">
        <f aca="true" t="shared" si="55" ref="AF70:AF104">AF69+AE69</f>
        <v>751.8552845746865</v>
      </c>
      <c r="AG70" s="30">
        <f>0.036*(SQRT(AF70)-SQRT(B12))</f>
        <v>0.006358746544748953</v>
      </c>
      <c r="AH70" s="27">
        <v>0</v>
      </c>
      <c r="AI70" s="47">
        <f>AH70+B17</f>
        <v>1.975</v>
      </c>
      <c r="AJ70" s="4">
        <f t="shared" si="36"/>
        <v>2.106022603962303</v>
      </c>
      <c r="AK70" s="4">
        <f>120*(AI70/AI254)^-0.055</f>
        <v>123.69960739219069</v>
      </c>
      <c r="AL70" s="4">
        <f t="shared" si="37"/>
        <v>-0.13102260396230303</v>
      </c>
      <c r="AM70" s="5">
        <f aca="true" t="shared" si="56" ref="AM70:AM133">AM69+AL69</f>
        <v>260.514169269216</v>
      </c>
      <c r="AN70" s="26">
        <f>0.12*(SQRT(AM70)-SQRT(B13))</f>
        <v>-0.04223654020163138</v>
      </c>
      <c r="AO70" s="4">
        <f t="shared" si="38"/>
        <v>1.48583705813174</v>
      </c>
      <c r="AP70" s="21">
        <v>0</v>
      </c>
      <c r="AQ70" s="21">
        <f>0.54*(Z70-Z54)+AQ54</f>
        <v>31.64</v>
      </c>
      <c r="AR70" s="21">
        <f t="shared" si="49"/>
        <v>4.62</v>
      </c>
      <c r="AS70" s="35">
        <f t="shared" si="39"/>
        <v>0.16976057059946592</v>
      </c>
      <c r="AT70" s="36">
        <f>-0.32*LN(AF70/AF254)+0.0042*(AI70-AI254)-0.000105*(AQ70-AQ254)-0.000315*(AR70-AR254)</f>
        <v>0.3959782889588857</v>
      </c>
      <c r="AU70" s="4">
        <f>AU254+5*LN(AF70/AF254)+0.125*(AP70-AP254)+0.0011*(AQ70-AQ254)+0.0033*(AR70-AR254)</f>
        <v>24.636899235017413</v>
      </c>
      <c r="AV70" s="4">
        <f>0.042*(AU70-B14)</f>
        <v>-0.015250232129268647</v>
      </c>
      <c r="AW70" s="4">
        <f>0.05*0.036*(SQRT(AF70)-SQRT(B12))</f>
        <v>0.00031793732723744766</v>
      </c>
      <c r="AX70" s="21">
        <v>0</v>
      </c>
      <c r="AY70" s="36">
        <f>-0.4*(AX70/AX254)</f>
        <v>0</v>
      </c>
      <c r="AZ70" s="36">
        <f>-0.8*LN((B15+AX70)/B15)*(LN((B15+AX254)/B15))^-1</f>
        <v>0</v>
      </c>
      <c r="BA70" s="36">
        <f>-0.1*(AQ70/AQ254)</f>
        <v>-0.003636781609195403</v>
      </c>
      <c r="BB70" s="6">
        <f t="shared" si="50"/>
        <v>-0.042368822755705304</v>
      </c>
      <c r="BC70" s="6">
        <f aca="true" t="shared" si="57" ref="BC70:BC133">BB70-BB69</f>
        <v>0.0030829845270768166</v>
      </c>
      <c r="BD70" s="4">
        <f t="shared" si="51"/>
        <v>0.8479170052036467</v>
      </c>
      <c r="BE70" s="4">
        <f>SUMPRODUCT(BC$4:BC70,$BD$288:BD$354)</f>
        <v>-0.04702306069169706</v>
      </c>
      <c r="BF70" s="23">
        <f>BE70*B7</f>
        <v>-0.04702306069169706</v>
      </c>
      <c r="BG70" s="48"/>
    </row>
    <row r="71" spans="5:59" ht="15">
      <c r="E71" s="1">
        <f t="shared" si="52"/>
        <v>67</v>
      </c>
      <c r="F71" s="1">
        <f t="shared" si="40"/>
        <v>1817</v>
      </c>
      <c r="G71" s="3">
        <v>0</v>
      </c>
      <c r="H71" s="3">
        <f t="shared" si="31"/>
        <v>0.057000000000000016</v>
      </c>
      <c r="I71" s="5">
        <f t="shared" si="41"/>
        <v>0.01000280706703491</v>
      </c>
      <c r="J71" s="5">
        <f t="shared" si="53"/>
        <v>0.015426749459963099</v>
      </c>
      <c r="K71" s="4">
        <f t="shared" si="42"/>
        <v>0.03157044347300201</v>
      </c>
      <c r="L71" s="4">
        <f t="shared" si="43"/>
        <v>0.00017305299126034506</v>
      </c>
      <c r="M71" s="4">
        <f>60*B8*LN(U71/U4)</f>
        <v>0.040777512016533596</v>
      </c>
      <c r="N71" s="4">
        <f t="shared" si="44"/>
        <v>7.056670430615804E-06</v>
      </c>
      <c r="O71" s="4">
        <f>SUMPRODUCT($M$4:M71,L$287:$L$354)</f>
        <v>0.01954155261321848</v>
      </c>
      <c r="P71" s="4">
        <f t="shared" si="45"/>
        <v>0.021235959403315116</v>
      </c>
      <c r="Q71" s="4">
        <f>(B5/(B4*B6))*W70</f>
        <v>0.8286118294512768</v>
      </c>
      <c r="R71" s="4">
        <f>(1.558-1.399*B3*0.01)*Q71+(7.4706-0.20207*B3)*0.001*Q71^2-(1.2748-0.12015*B3)*0.00001*Q71^3+(2.4491-0.12639*B3)*0.0000001*Q71^4-(1.5468-0.15326*B3)*0.0000000001*Q71^5</f>
        <v>1.082607152487115</v>
      </c>
      <c r="S71" s="4">
        <f t="shared" si="27"/>
        <v>0.0340656069810284</v>
      </c>
      <c r="T71" s="5">
        <f>(T4+R71)*EXP(0.0423*BF70)</f>
        <v>280.5240683064363</v>
      </c>
      <c r="U71" s="4">
        <f t="shared" si="46"/>
        <v>280.66383465654354</v>
      </c>
      <c r="V71" s="4">
        <f t="shared" si="32"/>
        <v>0.0005255215840978951</v>
      </c>
      <c r="W71" s="4">
        <f>SUMPRODUCT($J$4:J71,$S$287:S$354)</f>
        <v>0.13173305256349457</v>
      </c>
      <c r="X71" s="6">
        <f>5.35*LN(U71/U4)</f>
        <v>0.012668971503394584</v>
      </c>
      <c r="Y71" s="4">
        <f t="shared" si="47"/>
        <v>1817</v>
      </c>
      <c r="Z71" s="4">
        <f t="shared" si="54"/>
        <v>67</v>
      </c>
      <c r="AA71" s="21">
        <f t="shared" si="48"/>
        <v>24.79</v>
      </c>
      <c r="AB71" s="6">
        <f>AA71+B16</f>
        <v>131.1253745</v>
      </c>
      <c r="AC71" s="24">
        <f t="shared" si="33"/>
        <v>128.00075778712917</v>
      </c>
      <c r="AD71" s="4">
        <f t="shared" si="34"/>
        <v>5.898209432577115</v>
      </c>
      <c r="AE71" s="4">
        <f t="shared" si="35"/>
        <v>3.124616712870818</v>
      </c>
      <c r="AF71" s="6">
        <f t="shared" si="55"/>
        <v>754.9752769570639</v>
      </c>
      <c r="AG71" s="30">
        <f>0.036*(SQRT(AF71)-SQRT(B12))</f>
        <v>0.008404762703744125</v>
      </c>
      <c r="AH71" s="27">
        <v>0</v>
      </c>
      <c r="AI71" s="47">
        <f>AH71+B17</f>
        <v>1.975</v>
      </c>
      <c r="AJ71" s="4">
        <f t="shared" si="36"/>
        <v>2.1049634041255008</v>
      </c>
      <c r="AK71" s="4">
        <f>120*(AI71/AI254)^-0.055</f>
        <v>123.69960739219069</v>
      </c>
      <c r="AL71" s="4">
        <f t="shared" si="37"/>
        <v>-0.12996340412550067</v>
      </c>
      <c r="AM71" s="5">
        <f t="shared" si="56"/>
        <v>260.38314666525366</v>
      </c>
      <c r="AN71" s="26">
        <f>0.12*(SQRT(AM71)-SQRT(B13))</f>
        <v>-0.04272366071445262</v>
      </c>
      <c r="AO71" s="4">
        <f t="shared" si="38"/>
        <v>1.483752533914109</v>
      </c>
      <c r="AP71" s="21">
        <v>0</v>
      </c>
      <c r="AQ71" s="21">
        <f>0.54*(Z71-Z54)+AQ54</f>
        <v>32.18</v>
      </c>
      <c r="AR71" s="21">
        <f t="shared" si="49"/>
        <v>4.69</v>
      </c>
      <c r="AS71" s="35">
        <f t="shared" si="39"/>
        <v>0.16954297934501594</v>
      </c>
      <c r="AT71" s="36">
        <f>-0.32*LN(AF71/AF254)+0.0042*(AI71-AI254)-0.000105*(AQ71-AQ254)-0.000315*(AR71-AR254)</f>
        <v>0.39457437471727264</v>
      </c>
      <c r="AU71" s="4">
        <f>AU254+5*LN(AF71/AF254)+0.125*(AP71-AP254)+0.0011*(AQ71-AQ254)+0.0033*(AR71-AR254)</f>
        <v>24.658429926292616</v>
      </c>
      <c r="AV71" s="4">
        <f>0.042*(AU71-B14)</f>
        <v>-0.014345943095710134</v>
      </c>
      <c r="AW71" s="4">
        <f>0.05*0.036*(SQRT(AF71)-SQRT(B12))</f>
        <v>0.0004202381351872063</v>
      </c>
      <c r="AX71" s="21">
        <v>0</v>
      </c>
      <c r="AY71" s="36">
        <f>-0.4*(AX71/AX254)</f>
        <v>0</v>
      </c>
      <c r="AZ71" s="36">
        <f>-0.8*LN((B15+AX71)/B15)*(LN((B15+AX254)/B15))^-1</f>
        <v>0</v>
      </c>
      <c r="BA71" s="36">
        <f>-0.1*(AQ71/AQ254)</f>
        <v>-0.003698850574712644</v>
      </c>
      <c r="BB71" s="6">
        <f t="shared" si="50"/>
        <v>-0.039274482042549484</v>
      </c>
      <c r="BC71" s="6">
        <f t="shared" si="57"/>
        <v>0.00309434071315582</v>
      </c>
      <c r="BD71" s="4">
        <f t="shared" si="51"/>
        <v>0.8475709688250597</v>
      </c>
      <c r="BE71" s="4">
        <f>SUMPRODUCT(BC$4:BC71,$BD$287:BD$354)</f>
        <v>-0.045184166313726584</v>
      </c>
      <c r="BF71" s="23">
        <f>BE71*B7</f>
        <v>-0.045184166313726584</v>
      </c>
      <c r="BG71" s="48"/>
    </row>
    <row r="72" spans="5:59" ht="15">
      <c r="E72" s="1">
        <f t="shared" si="52"/>
        <v>68</v>
      </c>
      <c r="F72" s="1">
        <f t="shared" si="40"/>
        <v>1818</v>
      </c>
      <c r="G72" s="3">
        <v>0</v>
      </c>
      <c r="H72" s="3">
        <f t="shared" si="31"/>
        <v>0.05800000000000002</v>
      </c>
      <c r="I72" s="5">
        <f t="shared" si="41"/>
        <v>0.010361149997131428</v>
      </c>
      <c r="J72" s="5">
        <f t="shared" si="53"/>
        <v>0.01550571816372445</v>
      </c>
      <c r="K72" s="4">
        <f t="shared" si="42"/>
        <v>0.03213313183914414</v>
      </c>
      <c r="L72" s="4">
        <f t="shared" si="43"/>
        <v>0.00017479259847620862</v>
      </c>
      <c r="M72" s="4">
        <f>60*B8*LN(U72/U4)</f>
        <v>0.042714393067655544</v>
      </c>
      <c r="N72" s="4">
        <f t="shared" si="44"/>
        <v>7.466159756629665E-06</v>
      </c>
      <c r="O72" s="4">
        <f>SUMPRODUCT($M$4:M72,L$286:$L$354)</f>
        <v>0.02071767162374552</v>
      </c>
      <c r="P72" s="4">
        <f t="shared" si="45"/>
        <v>0.021996721443910024</v>
      </c>
      <c r="Q72" s="4">
        <f>(B5/(B4*B6))*W71</f>
        <v>0.8355223444358661</v>
      </c>
      <c r="R72" s="4">
        <f>(1.558-1.399*B3*0.01)*Q72+(7.4706-0.20207*B3)*0.001*Q72^2-(1.2748-0.12015*B3)*0.00001*Q72^3+(2.4491-0.12639*B3)*0.0000001*Q72^4-(1.5468-0.15326*B3)*0.0000000001*Q72^5</f>
        <v>1.0916579432001243</v>
      </c>
      <c r="S72" s="4">
        <f aca="true" t="shared" si="58" ref="S72:S135">0.022936+0.24278*EXP(-(350-E72)/1.2679)+0.13963*EXP(-(350-E72)/5.2528)+0.089318*EXP(-(350-E72)/18.601)+0.03782*EXP(-(350-E72)/68.736)+0.035549*EXP(-(350-E72)/232.3)</f>
        <v>0.03411999265741004</v>
      </c>
      <c r="T72" s="5">
        <f>(T4+R72)*EXP(0.0423*BF71)</f>
        <v>280.5549232934532</v>
      </c>
      <c r="U72" s="4">
        <f t="shared" si="46"/>
        <v>280.69540510001656</v>
      </c>
      <c r="V72" s="4">
        <f t="shared" si="32"/>
        <v>0.0005290549898941477</v>
      </c>
      <c r="W72" s="4">
        <f>SUMPRODUCT($J$4:J72,$S$286:S$354)</f>
        <v>0.13284532792554843</v>
      </c>
      <c r="X72" s="6">
        <f>5.35*LN(U72/U4)</f>
        <v>0.013270731876420278</v>
      </c>
      <c r="Y72" s="4">
        <f t="shared" si="47"/>
        <v>1818</v>
      </c>
      <c r="Z72" s="4">
        <f t="shared" si="54"/>
        <v>68</v>
      </c>
      <c r="AA72" s="21">
        <f t="shared" si="48"/>
        <v>25.16</v>
      </c>
      <c r="AB72" s="6">
        <f>AA72+B16</f>
        <v>131.4953745</v>
      </c>
      <c r="AC72" s="24">
        <f t="shared" si="33"/>
        <v>128.36620203912844</v>
      </c>
      <c r="AD72" s="4">
        <f t="shared" si="34"/>
        <v>5.905759316917794</v>
      </c>
      <c r="AE72" s="4">
        <f t="shared" si="35"/>
        <v>3.1291724608715583</v>
      </c>
      <c r="AF72" s="6">
        <f t="shared" si="55"/>
        <v>758.0998936699348</v>
      </c>
      <c r="AG72" s="30">
        <f>0.036*(SQRT(AF72)-SQRT(B12))</f>
        <v>0.010449578698169844</v>
      </c>
      <c r="AH72" s="27">
        <v>0</v>
      </c>
      <c r="AI72" s="47">
        <f>AH72+B17</f>
        <v>1.975</v>
      </c>
      <c r="AJ72" s="4">
        <f t="shared" si="36"/>
        <v>2.1039127669661326</v>
      </c>
      <c r="AK72" s="4">
        <f>120*(AI72/AI254)^-0.055</f>
        <v>123.69960739219069</v>
      </c>
      <c r="AL72" s="4">
        <f t="shared" si="37"/>
        <v>-0.12891276696613252</v>
      </c>
      <c r="AM72" s="5">
        <f t="shared" si="56"/>
        <v>260.2531832611282</v>
      </c>
      <c r="AN72" s="26">
        <f>0.12*(SQRT(AM72)-SQRT(B13))</f>
        <v>-0.04320696438663532</v>
      </c>
      <c r="AO72" s="4">
        <f t="shared" si="38"/>
        <v>1.4816761393916413</v>
      </c>
      <c r="AP72" s="21">
        <v>0</v>
      </c>
      <c r="AQ72" s="21">
        <f>0.54*(Z72-Z54)+AQ54</f>
        <v>32.72</v>
      </c>
      <c r="AR72" s="21">
        <f t="shared" si="49"/>
        <v>4.760000000000001</v>
      </c>
      <c r="AS72" s="35">
        <f t="shared" si="39"/>
        <v>0.16932623670175206</v>
      </c>
      <c r="AT72" s="36">
        <f>-0.32*LN(AF72/AF254)+0.0042*(AI72-AI254)-0.000105*(AQ72-AQ254)-0.000315*(AR72-AR254)</f>
        <v>0.3931739735675179</v>
      </c>
      <c r="AU72" s="4">
        <f>AU254+5*LN(AF72/AF254)+0.125*(AP72-AP254)+0.0011*(AQ72-AQ254)+0.0033*(AR72-AR254)</f>
        <v>24.67990572550753</v>
      </c>
      <c r="AV72" s="4">
        <f>0.042*(AU72-B14)</f>
        <v>-0.013443959528683692</v>
      </c>
      <c r="AW72" s="4">
        <f>0.05*0.036*(SQRT(AF72)-SQRT(B12))</f>
        <v>0.0005224789349084923</v>
      </c>
      <c r="AX72" s="21">
        <v>0</v>
      </c>
      <c r="AY72" s="36">
        <f>-0.4*(AX72/AX254)</f>
        <v>0</v>
      </c>
      <c r="AZ72" s="36">
        <f>-0.8*LN((B15+AX72)/B15)*(LN((B15+AX254)/B15))^-1</f>
        <v>0</v>
      </c>
      <c r="BA72" s="36">
        <f>-0.1*(AQ72/AQ254)</f>
        <v>-0.0037609195402298853</v>
      </c>
      <c r="BB72" s="6">
        <f t="shared" si="50"/>
        <v>-0.036169053946050286</v>
      </c>
      <c r="BC72" s="6">
        <f t="shared" si="57"/>
        <v>0.003105428096499198</v>
      </c>
      <c r="BD72" s="4">
        <f t="shared" si="51"/>
        <v>0.8472241450961162</v>
      </c>
      <c r="BE72" s="4">
        <f>SUMPRODUCT(BC$4:BC72,$BD$286:BD$354)</f>
        <v>-0.043319620992433326</v>
      </c>
      <c r="BF72" s="23">
        <f>BE72*B7</f>
        <v>-0.043319620992433326</v>
      </c>
      <c r="BG72" s="48"/>
    </row>
    <row r="73" spans="5:59" ht="15">
      <c r="E73" s="1">
        <f t="shared" si="52"/>
        <v>69</v>
      </c>
      <c r="F73" s="1">
        <f t="shared" si="40"/>
        <v>1819</v>
      </c>
      <c r="G73" s="3">
        <v>0</v>
      </c>
      <c r="H73" s="3">
        <f t="shared" si="31"/>
        <v>0.05900000000000002</v>
      </c>
      <c r="I73" s="5">
        <f t="shared" si="41"/>
        <v>0.010721035202951467</v>
      </c>
      <c r="J73" s="5">
        <f t="shared" si="53"/>
        <v>0.01559200822251924</v>
      </c>
      <c r="K73" s="4">
        <f t="shared" si="42"/>
        <v>0.032686956574529316</v>
      </c>
      <c r="L73" s="4">
        <f t="shared" si="43"/>
        <v>0.0001765497093252392</v>
      </c>
      <c r="M73" s="4">
        <f>60*B8*LN(U73/U4)</f>
        <v>0.04468557197099784</v>
      </c>
      <c r="N73" s="4">
        <f t="shared" si="44"/>
        <v>7.889224742511724E-06</v>
      </c>
      <c r="O73" s="4">
        <f>SUMPRODUCT($M$4:M73,L$285:$L$354)</f>
        <v>0.021924814235131873</v>
      </c>
      <c r="P73" s="4">
        <f t="shared" si="45"/>
        <v>0.022760757735865965</v>
      </c>
      <c r="Q73" s="4">
        <f>(B5/(B4*B6))*W72</f>
        <v>0.8425769970084508</v>
      </c>
      <c r="R73" s="4">
        <f>(1.558-1.399*B3*0.01)*Q73+(7.4706-0.20207*B3)*0.001*Q73^2-(1.2748-0.12015*B3)*0.00001*Q73^3+(2.4491-0.12639*B3)*0.0000001*Q73^4-(1.5468-0.15326*B3)*0.0000000001*Q73^5</f>
        <v>1.100897888708551</v>
      </c>
      <c r="S73" s="4">
        <f t="shared" si="58"/>
        <v>0.03417470638117009</v>
      </c>
      <c r="T73" s="5">
        <f>(T4+R73)*EXP(0.0423*BF72)</f>
        <v>280.5862746373597</v>
      </c>
      <c r="U73" s="4">
        <f t="shared" si="46"/>
        <v>280.7275382318557</v>
      </c>
      <c r="V73" s="4">
        <f t="shared" si="32"/>
        <v>0.0005328523028973848</v>
      </c>
      <c r="W73" s="4">
        <f>SUMPRODUCT($J$4:J73,$S$285:S$354)</f>
        <v>0.13398093664685296</v>
      </c>
      <c r="X73" s="6">
        <f>5.35*LN(U73/U4)</f>
        <v>0.01388314808622755</v>
      </c>
      <c r="Y73" s="4">
        <f t="shared" si="47"/>
        <v>1819</v>
      </c>
      <c r="Z73" s="4">
        <f t="shared" si="54"/>
        <v>69</v>
      </c>
      <c r="AA73" s="21">
        <f t="shared" si="48"/>
        <v>25.53</v>
      </c>
      <c r="AB73" s="6">
        <f>AA73+B16</f>
        <v>131.8653745</v>
      </c>
      <c r="AC73" s="24">
        <f t="shared" si="33"/>
        <v>128.73170709874663</v>
      </c>
      <c r="AD73" s="4">
        <f t="shared" si="34"/>
        <v>5.913298932227225</v>
      </c>
      <c r="AE73" s="4">
        <f t="shared" si="35"/>
        <v>3.1336674012533763</v>
      </c>
      <c r="AF73" s="6">
        <f t="shared" si="55"/>
        <v>761.2290661308064</v>
      </c>
      <c r="AG73" s="30">
        <f>0.036*(SQRT(AF73)-SQRT(B12))</f>
        <v>0.01249315719707178</v>
      </c>
      <c r="AH73" s="27">
        <v>0</v>
      </c>
      <c r="AI73" s="47">
        <f>AH73+B17</f>
        <v>1.975</v>
      </c>
      <c r="AJ73" s="4">
        <f t="shared" si="36"/>
        <v>2.1028706232626573</v>
      </c>
      <c r="AK73" s="4">
        <f>120*(AI73/AI254)^-0.055</f>
        <v>123.69960739219069</v>
      </c>
      <c r="AL73" s="4">
        <f t="shared" si="37"/>
        <v>-0.1278706232626572</v>
      </c>
      <c r="AM73" s="5">
        <f t="shared" si="56"/>
        <v>260.12427049416203</v>
      </c>
      <c r="AN73" s="26">
        <f>0.12*(SQRT(AM73)-SQRT(B13))</f>
        <v>-0.04368648021325825</v>
      </c>
      <c r="AO73" s="4">
        <f t="shared" si="38"/>
        <v>1.4796078604094554</v>
      </c>
      <c r="AP73" s="21">
        <v>0</v>
      </c>
      <c r="AQ73" s="21">
        <f>0.54*(Z73-Z54)+AQ54</f>
        <v>33.260000000000005</v>
      </c>
      <c r="AR73" s="21">
        <f t="shared" si="49"/>
        <v>4.83</v>
      </c>
      <c r="AS73" s="35">
        <f t="shared" si="39"/>
        <v>0.1691103411921293</v>
      </c>
      <c r="AT73" s="36">
        <f>-0.32*LN(AF73/AF254)+0.0042*(AI73-AI254)-0.000105*(AQ73-AQ254)-0.000315*(AR73-AR254)</f>
        <v>0.3917770934853374</v>
      </c>
      <c r="AU73" s="4">
        <f>AU254+5*LN(AF73/AF254)+0.125*(AP73-AP254)+0.0011*(AQ73-AQ254)+0.0033*(AR73-AR254)</f>
        <v>24.7013265080416</v>
      </c>
      <c r="AV73" s="4">
        <f>0.042*(AU73-B14)</f>
        <v>-0.01254428666225281</v>
      </c>
      <c r="AW73" s="4">
        <f>0.05*0.036*(SQRT(AF73)-SQRT(B12))</f>
        <v>0.0006246578598535891</v>
      </c>
      <c r="AX73" s="21">
        <v>0</v>
      </c>
      <c r="AY73" s="36">
        <f>-0.4*(AX73/AX254)</f>
        <v>0</v>
      </c>
      <c r="AZ73" s="36">
        <f>-0.8*LN((B15+AX73)/B15)*(LN((B15+AX254)/B15))^-1</f>
        <v>0</v>
      </c>
      <c r="BA73" s="36">
        <f>-0.1*(AQ73/AQ254)</f>
        <v>-0.003822988505747127</v>
      </c>
      <c r="BB73" s="6">
        <f t="shared" si="50"/>
        <v>-0.03305279223810527</v>
      </c>
      <c r="BC73" s="6">
        <f t="shared" si="57"/>
        <v>0.0031162617079450172</v>
      </c>
      <c r="BD73" s="4">
        <f t="shared" si="51"/>
        <v>0.8468765322246531</v>
      </c>
      <c r="BE73" s="4">
        <f>SUMPRODUCT(BC$4:BC73,$BD$285:BD$354)</f>
        <v>-0.041430477207467335</v>
      </c>
      <c r="BF73" s="23">
        <f>BE73*B7</f>
        <v>-0.041430477207467335</v>
      </c>
      <c r="BG73" s="48"/>
    </row>
    <row r="74" spans="5:59" ht="15">
      <c r="E74" s="1">
        <f t="shared" si="52"/>
        <v>70</v>
      </c>
      <c r="F74" s="1">
        <f t="shared" si="40"/>
        <v>1820</v>
      </c>
      <c r="G74" s="3">
        <v>0</v>
      </c>
      <c r="H74" s="3">
        <f t="shared" si="31"/>
        <v>0.06000000000000002</v>
      </c>
      <c r="I74" s="5">
        <f t="shared" si="41"/>
        <v>0.011082335542265427</v>
      </c>
      <c r="J74" s="5">
        <f t="shared" si="53"/>
        <v>0.015685445051981863</v>
      </c>
      <c r="K74" s="4">
        <f t="shared" si="42"/>
        <v>0.03323221940575273</v>
      </c>
      <c r="L74" s="4">
        <f t="shared" si="43"/>
        <v>0.00017832450076216475</v>
      </c>
      <c r="M74" s="4">
        <f>60*B8*LN(U74/U4)</f>
        <v>0.046690493287255296</v>
      </c>
      <c r="N74" s="4">
        <f t="shared" si="44"/>
        <v>8.326058905789005E-06</v>
      </c>
      <c r="O74" s="4">
        <f>SUMPRODUCT($M$4:M74,L$284:$L$354)</f>
        <v>0.023162694931025792</v>
      </c>
      <c r="P74" s="4">
        <f t="shared" si="45"/>
        <v>0.023527798356229503</v>
      </c>
      <c r="Q74" s="4">
        <f>(B5/(B4*B6))*W73</f>
        <v>0.8497796423789348</v>
      </c>
      <c r="R74" s="4">
        <f>(1.558-1.399*B3*0.01)*Q74+(7.4706-0.20207*B3)*0.001*Q74^2-(1.2748-0.12015*B3)*0.00001*Q74^3+(2.4491-0.12639*B3)*0.0000001*Q74^4-(1.5468-0.15326*B3)*0.0000000001*Q74^5</f>
        <v>1.1103320620522612</v>
      </c>
      <c r="S74" s="4">
        <f t="shared" si="58"/>
        <v>0.034229750939153425</v>
      </c>
      <c r="T74" s="5">
        <f>(T4+R74)*EXP(0.0423*BF73)</f>
        <v>280.6181150562593</v>
      </c>
      <c r="U74" s="4">
        <f t="shared" si="46"/>
        <v>280.76022518843024</v>
      </c>
      <c r="V74" s="4">
        <f t="shared" si="32"/>
        <v>0.0005369088774991156</v>
      </c>
      <c r="W74" s="4">
        <f>SUMPRODUCT($J$4:J74,$S$284:S$354)</f>
        <v>0.13514049746552195</v>
      </c>
      <c r="X74" s="6">
        <f>5.35*LN(U74/U4)</f>
        <v>0.01450604756601718</v>
      </c>
      <c r="Y74" s="4">
        <f t="shared" si="47"/>
        <v>1820</v>
      </c>
      <c r="Z74" s="4">
        <f t="shared" si="54"/>
        <v>70</v>
      </c>
      <c r="AA74" s="21">
        <f t="shared" si="48"/>
        <v>25.9</v>
      </c>
      <c r="AB74" s="6">
        <f>AA74+B16</f>
        <v>132.2353745</v>
      </c>
      <c r="AC74" s="24">
        <f t="shared" si="33"/>
        <v>129.09726615601315</v>
      </c>
      <c r="AD74" s="4">
        <f t="shared" si="34"/>
        <v>5.920828196379719</v>
      </c>
      <c r="AE74" s="4">
        <f t="shared" si="35"/>
        <v>3.1381083439868576</v>
      </c>
      <c r="AF74" s="6">
        <f t="shared" si="55"/>
        <v>764.3627335320598</v>
      </c>
      <c r="AG74" s="30">
        <f>0.036*(SQRT(AF74)-SQRT(B12))</f>
        <v>0.014535466233498353</v>
      </c>
      <c r="AH74" s="27">
        <v>0</v>
      </c>
      <c r="AI74" s="47">
        <f>AH74+B17</f>
        <v>1.975</v>
      </c>
      <c r="AJ74" s="4">
        <f t="shared" si="36"/>
        <v>2.101836904353128</v>
      </c>
      <c r="AK74" s="4">
        <f>120*(AI74/AI254)^-0.055</f>
        <v>123.69960739219069</v>
      </c>
      <c r="AL74" s="4">
        <f t="shared" si="37"/>
        <v>-0.1268369043531279</v>
      </c>
      <c r="AM74" s="5">
        <f t="shared" si="56"/>
        <v>259.9963998708994</v>
      </c>
      <c r="AN74" s="26">
        <f>0.12*(SQRT(AM74)-SQRT(B13))</f>
        <v>-0.04416223698292299</v>
      </c>
      <c r="AO74" s="4">
        <f t="shared" si="38"/>
        <v>1.47754767764575</v>
      </c>
      <c r="AP74" s="21">
        <v>0</v>
      </c>
      <c r="AQ74" s="21">
        <f>0.54*(Z74-Z54)+AQ54</f>
        <v>33.8</v>
      </c>
      <c r="AR74" s="21">
        <f t="shared" si="49"/>
        <v>4.9</v>
      </c>
      <c r="AS74" s="35">
        <f t="shared" si="39"/>
        <v>0.1688952907992582</v>
      </c>
      <c r="AT74" s="36">
        <f>-0.32*LN(AF74/AF254)+0.0042*(AI74-AI254)-0.000105*(AQ74-AQ254)-0.000315*(AR74-AR254)</f>
        <v>0.39038373891165823</v>
      </c>
      <c r="AU74" s="4">
        <f>AU254+5*LN(AF74/AF254)+0.125*(AP74-AP254)+0.0011*(AQ74-AQ254)+0.0033*(AR74-AR254)</f>
        <v>24.72269220450534</v>
      </c>
      <c r="AV74" s="4">
        <f>0.042*(AU74-B14)</f>
        <v>-0.011646927410775753</v>
      </c>
      <c r="AW74" s="4">
        <f>0.05*0.036*(SQRT(AF74)-SQRT(B12))</f>
        <v>0.0007267733116749176</v>
      </c>
      <c r="AX74" s="21">
        <v>0</v>
      </c>
      <c r="AY74" s="36">
        <f>-0.4*(AX74/AX254)</f>
        <v>0</v>
      </c>
      <c r="AZ74" s="36">
        <f>-0.8*LN((B15+AX74)/B15)*(LN((B15+AX254)/B15))^-1</f>
        <v>0</v>
      </c>
      <c r="BA74" s="36">
        <f>-0.1*(AQ74/AQ254)</f>
        <v>-0.0038850574712643673</v>
      </c>
      <c r="BB74" s="6">
        <f t="shared" si="50"/>
        <v>-0.029925934753772664</v>
      </c>
      <c r="BC74" s="6">
        <f t="shared" si="57"/>
        <v>0.0031268574843326055</v>
      </c>
      <c r="BD74" s="4">
        <f t="shared" si="51"/>
        <v>0.8465281284143791</v>
      </c>
      <c r="BE74" s="4">
        <f>SUMPRODUCT(BC$4:BC74,$BD$284:BD$354)</f>
        <v>-0.03951772891328552</v>
      </c>
      <c r="BF74" s="23">
        <f>BE74*B7</f>
        <v>-0.03951772891328552</v>
      </c>
      <c r="BG74" s="48"/>
    </row>
    <row r="75" spans="5:59" ht="15">
      <c r="E75" s="1">
        <f t="shared" si="52"/>
        <v>71</v>
      </c>
      <c r="F75" s="1">
        <f t="shared" si="40"/>
        <v>1821</v>
      </c>
      <c r="G75" s="3">
        <v>0</v>
      </c>
      <c r="H75" s="3">
        <f t="shared" si="31"/>
        <v>0.06100000000000002</v>
      </c>
      <c r="I75" s="5">
        <f t="shared" si="41"/>
        <v>0.011444931492820914</v>
      </c>
      <c r="J75" s="5">
        <f t="shared" si="53"/>
        <v>0.015785800759492853</v>
      </c>
      <c r="K75" s="4">
        <f t="shared" si="42"/>
        <v>0.03376926774768625</v>
      </c>
      <c r="L75" s="4">
        <f t="shared" si="43"/>
        <v>0.00018011715157347427</v>
      </c>
      <c r="M75" s="4">
        <f>60*B8*LN(U75/U4)</f>
        <v>0.048728620136284206</v>
      </c>
      <c r="N75" s="4">
        <f t="shared" si="44"/>
        <v>8.776860259053353E-06</v>
      </c>
      <c r="O75" s="4">
        <f>SUMPRODUCT($M$4:M75,L$283:$L$354)</f>
        <v>0.024431030577025403</v>
      </c>
      <c r="P75" s="4">
        <f t="shared" si="45"/>
        <v>0.024297589559258804</v>
      </c>
      <c r="Q75" s="4">
        <f>(B5/(B4*B6))*W74</f>
        <v>0.8571342049194431</v>
      </c>
      <c r="R75" s="4">
        <f>(1.558-1.399*B3*0.01)*Q75+(7.4706-0.20207*B3)*0.001*Q75^2-(1.2748-0.12015*B3)*0.00001*Q75^3+(2.4491-0.12639*B3)*0.0000001*Q75^4-(1.5468-0.15326*B3)*0.0000000001*Q75^5</f>
        <v>1.1199656282100678</v>
      </c>
      <c r="S75" s="4">
        <f t="shared" si="58"/>
        <v>0.03428512915046747</v>
      </c>
      <c r="T75" s="5">
        <f>(T4+R75)*EXP(0.0423*BF74)</f>
        <v>280.650438052955</v>
      </c>
      <c r="U75" s="4">
        <f t="shared" si="46"/>
        <v>280.793457407836</v>
      </c>
      <c r="V75" s="4">
        <f t="shared" si="32"/>
        <v>0.0005412182177827599</v>
      </c>
      <c r="W75" s="4">
        <f>SUMPRODUCT($J$4:J75,$S$283:S$354)</f>
        <v>0.13632453939505265</v>
      </c>
      <c r="X75" s="6">
        <f>5.35*LN(U75/U4)</f>
        <v>0.015139263515047649</v>
      </c>
      <c r="Y75" s="4">
        <f t="shared" si="47"/>
        <v>1821</v>
      </c>
      <c r="Z75" s="4">
        <f t="shared" si="54"/>
        <v>71</v>
      </c>
      <c r="AA75" s="21">
        <f t="shared" si="48"/>
        <v>26.27</v>
      </c>
      <c r="AB75" s="6">
        <f>AA75+B16</f>
        <v>132.6053745</v>
      </c>
      <c r="AC75" s="24">
        <f t="shared" si="33"/>
        <v>129.46287324465686</v>
      </c>
      <c r="AD75" s="4">
        <f t="shared" si="34"/>
        <v>5.92834704375544</v>
      </c>
      <c r="AE75" s="4">
        <f t="shared" si="35"/>
        <v>3.1425012553431486</v>
      </c>
      <c r="AF75" s="6">
        <f t="shared" si="55"/>
        <v>767.5008418760467</v>
      </c>
      <c r="AG75" s="30">
        <f>0.036*(SQRT(AF75)-SQRT(B12))</f>
        <v>0.016576478522217313</v>
      </c>
      <c r="AH75" s="27">
        <v>0</v>
      </c>
      <c r="AI75" s="47">
        <f>AH75+B17</f>
        <v>1.975</v>
      </c>
      <c r="AJ75" s="4">
        <f t="shared" si="36"/>
        <v>2.1008115421306677</v>
      </c>
      <c r="AK75" s="4">
        <f>120*(AI75/AI254)^-0.055</f>
        <v>123.69960739219069</v>
      </c>
      <c r="AL75" s="4">
        <f t="shared" si="37"/>
        <v>-0.1258115421306676</v>
      </c>
      <c r="AM75" s="5">
        <f t="shared" si="56"/>
        <v>259.86956296654625</v>
      </c>
      <c r="AN75" s="26">
        <f>0.12*(SQRT(AM75)-SQRT(B13))</f>
        <v>-0.044634263279022264</v>
      </c>
      <c r="AO75" s="4">
        <f t="shared" si="38"/>
        <v>1.4754955673481736</v>
      </c>
      <c r="AP75" s="21">
        <v>0</v>
      </c>
      <c r="AQ75" s="21">
        <f>0.54*(Z75-Z54)+AQ54</f>
        <v>34.34</v>
      </c>
      <c r="AR75" s="21">
        <f t="shared" si="49"/>
        <v>4.970000000000001</v>
      </c>
      <c r="AS75" s="35">
        <f t="shared" si="39"/>
        <v>0.16868108304377005</v>
      </c>
      <c r="AT75" s="36">
        <f>-0.32*LN(AF75/AF254)+0.0042*(AI75-AI254)-0.000105*(AQ75-AQ254)-0.000315*(AR75-AR254)</f>
        <v>0.38899391122702803</v>
      </c>
      <c r="AU75" s="4">
        <f>AU254+5*LN(AF75/AF254)+0.125*(AP75-AP254)+0.0011*(AQ75-AQ254)+0.0033*(AR75-AR254)</f>
        <v>24.744002793327688</v>
      </c>
      <c r="AV75" s="4">
        <f>0.042*(AU75-B14)</f>
        <v>-0.010751882680237104</v>
      </c>
      <c r="AW75" s="4">
        <f>0.05*0.036*(SQRT(AF75)-SQRT(B12))</f>
        <v>0.0008288239261108657</v>
      </c>
      <c r="AX75" s="21">
        <v>0</v>
      </c>
      <c r="AY75" s="36">
        <f>-0.4*(AX75/AX254)</f>
        <v>0</v>
      </c>
      <c r="AZ75" s="36">
        <f>-0.8*LN((B15+AX75)/B15)*(LN((B15+AX254)/B15))^-1</f>
        <v>0</v>
      </c>
      <c r="BA75" s="36">
        <f>-0.1*(AQ75/AQ254)</f>
        <v>-0.00394712643678161</v>
      </c>
      <c r="BB75" s="6">
        <f t="shared" si="50"/>
        <v>-0.026788706432665142</v>
      </c>
      <c r="BC75" s="6">
        <f t="shared" si="57"/>
        <v>0.0031372283211075214</v>
      </c>
      <c r="BD75" s="4">
        <f t="shared" si="51"/>
        <v>0.8461789318648623</v>
      </c>
      <c r="BE75" s="4">
        <f>SUMPRODUCT(BC$4:BC75,$BD$283:BD$354)</f>
        <v>-0.037582314707106525</v>
      </c>
      <c r="BF75" s="23">
        <f>BE75*B7</f>
        <v>-0.037582314707106525</v>
      </c>
      <c r="BG75" s="48"/>
    </row>
    <row r="76" spans="5:59" ht="15">
      <c r="E76" s="1">
        <f t="shared" si="52"/>
        <v>72</v>
      </c>
      <c r="F76" s="1">
        <f t="shared" si="40"/>
        <v>1822</v>
      </c>
      <c r="G76" s="3">
        <v>0</v>
      </c>
      <c r="H76" s="3">
        <f t="shared" si="31"/>
        <v>0.06200000000000002</v>
      </c>
      <c r="I76" s="5">
        <f t="shared" si="41"/>
        <v>0.011808712145267956</v>
      </c>
      <c r="J76" s="5">
        <f t="shared" si="53"/>
        <v>0.01589289543611462</v>
      </c>
      <c r="K76" s="4">
        <f t="shared" si="42"/>
        <v>0.03429839241861744</v>
      </c>
      <c r="L76" s="4">
        <f t="shared" si="43"/>
        <v>0.00018192784239856266</v>
      </c>
      <c r="M76" s="4">
        <f>60*B8*LN(U76/U4)</f>
        <v>0.05079943699825494</v>
      </c>
      <c r="N76" s="4">
        <f t="shared" si="44"/>
        <v>9.241831968154237E-06</v>
      </c>
      <c r="O76" s="4">
        <f>SUMPRODUCT($M$4:M76,L$282:$L$354)</f>
        <v>0.025729541113851066</v>
      </c>
      <c r="P76" s="4">
        <f t="shared" si="45"/>
        <v>0.025069895884403875</v>
      </c>
      <c r="Q76" s="4">
        <f>(B5/(B4*B6))*W75</f>
        <v>0.8646440399200025</v>
      </c>
      <c r="R76" s="4">
        <f>(1.558-1.399*B3*0.01)*Q76+(7.4706-0.20207*B3)*0.001*Q76^2-(1.2748-0.12015*B3)*0.00001*Q76^3+(2.4491-0.12639*B3)*0.0000001*Q76^4-(1.5468-0.15326*B3)*0.0000000001*Q76^5</f>
        <v>1.1298030080883934</v>
      </c>
      <c r="S76" s="4">
        <f t="shared" si="58"/>
        <v>0.03434084386692558</v>
      </c>
      <c r="T76" s="5">
        <f>(T4+R76)*EXP(0.0423*BF75)</f>
        <v>280.6832370429325</v>
      </c>
      <c r="U76" s="4">
        <f t="shared" si="46"/>
        <v>280.8272266755837</v>
      </c>
      <c r="V76" s="4">
        <f t="shared" si="32"/>
        <v>0.0005457754407649863</v>
      </c>
      <c r="W76" s="4">
        <f>SUMPRODUCT($J$4:J76,$S$282:S$354)</f>
        <v>0.13753357630243512</v>
      </c>
      <c r="X76" s="6">
        <f>5.35*LN(U76/U4)</f>
        <v>0.015782635768911958</v>
      </c>
      <c r="Y76" s="4">
        <f t="shared" si="47"/>
        <v>1822</v>
      </c>
      <c r="Z76" s="4">
        <f t="shared" si="54"/>
        <v>72</v>
      </c>
      <c r="AA76" s="21">
        <f t="shared" si="48"/>
        <v>26.64</v>
      </c>
      <c r="AB76" s="6">
        <f>AA76+B16</f>
        <v>132.9753745</v>
      </c>
      <c r="AC76" s="24">
        <f t="shared" si="33"/>
        <v>129.8285231362654</v>
      </c>
      <c r="AD76" s="4">
        <f t="shared" si="34"/>
        <v>5.935855423099423</v>
      </c>
      <c r="AE76" s="4">
        <f t="shared" si="35"/>
        <v>3.1468513637345836</v>
      </c>
      <c r="AF76" s="6">
        <f t="shared" si="55"/>
        <v>770.6433431313899</v>
      </c>
      <c r="AG76" s="30">
        <f>0.036*(SQRT(AF76)-SQRT(B12))</f>
        <v>0.018616170864470417</v>
      </c>
      <c r="AH76" s="27">
        <v>0</v>
      </c>
      <c r="AI76" s="47">
        <f>AH76+B17</f>
        <v>1.975</v>
      </c>
      <c r="AJ76" s="4">
        <f t="shared" si="36"/>
        <v>2.099794469038982</v>
      </c>
      <c r="AK76" s="4">
        <f>120*(AI76/AI254)^-0.055</f>
        <v>123.69960739219069</v>
      </c>
      <c r="AL76" s="4">
        <f t="shared" si="37"/>
        <v>-0.12479446903898195</v>
      </c>
      <c r="AM76" s="5">
        <f t="shared" si="56"/>
        <v>259.74375142441556</v>
      </c>
      <c r="AN76" s="26">
        <f>0.12*(SQRT(AM76)-SQRT(B13))</f>
        <v>-0.045102587480996305</v>
      </c>
      <c r="AO76" s="4">
        <f t="shared" si="38"/>
        <v>1.473451501973165</v>
      </c>
      <c r="AP76" s="21">
        <v>0</v>
      </c>
      <c r="AQ76" s="21">
        <f>0.54*(Z76-Z54)+AQ54</f>
        <v>34.88</v>
      </c>
      <c r="AR76" s="21">
        <f t="shared" si="49"/>
        <v>5.040000000000001</v>
      </c>
      <c r="AS76" s="35">
        <f t="shared" si="39"/>
        <v>0.16846771505055413</v>
      </c>
      <c r="AT76" s="36">
        <f>-0.32*LN(AF76/AF254)+0.0042*(AI76-AI254)-0.000105*(AQ76-AQ254)-0.000315*(AR76-AR254)</f>
        <v>0.38760760916441317</v>
      </c>
      <c r="AU76" s="4">
        <f>AU254+5*LN(AF76/AF254)+0.125*(AP76-AP254)+0.0011*(AQ76-AQ254)+0.0033*(AR76-AR254)</f>
        <v>24.765258294306047</v>
      </c>
      <c r="AV76" s="4">
        <f>0.042*(AU76-B14)</f>
        <v>-0.009859151639146014</v>
      </c>
      <c r="AW76" s="4">
        <f>0.05*0.036*(SQRT(AF76)-SQRT(B12))</f>
        <v>0.0009308085432235209</v>
      </c>
      <c r="AX76" s="21">
        <v>0</v>
      </c>
      <c r="AY76" s="36">
        <f>-0.4*(AX76/AX254)</f>
        <v>0</v>
      </c>
      <c r="AZ76" s="36">
        <f>-0.8*LN((B15+AX76)/B15)*(LN((B15+AX254)/B15))^-1</f>
        <v>0</v>
      </c>
      <c r="BA76" s="36">
        <f>-0.1*(AQ76/AQ254)</f>
        <v>-0.004009195402298851</v>
      </c>
      <c r="BB76" s="6">
        <f t="shared" si="50"/>
        <v>-0.023641319345835278</v>
      </c>
      <c r="BC76" s="6">
        <f t="shared" si="57"/>
        <v>0.0031473870868298642</v>
      </c>
      <c r="BD76" s="4">
        <f t="shared" si="51"/>
        <v>0.8458289407715167</v>
      </c>
      <c r="BE76" s="4">
        <f>SUMPRODUCT(BC$4:BC76,$BD$282:BD$354)</f>
        <v>-0.03562512093049932</v>
      </c>
      <c r="BF76" s="23">
        <f>BE76*B7</f>
        <v>-0.03562512093049932</v>
      </c>
      <c r="BG76" s="48"/>
    </row>
    <row r="77" spans="5:59" ht="15">
      <c r="E77" s="1">
        <f t="shared" si="52"/>
        <v>73</v>
      </c>
      <c r="F77" s="1">
        <f t="shared" si="40"/>
        <v>1823</v>
      </c>
      <c r="G77" s="3">
        <v>0</v>
      </c>
      <c r="H77" s="3">
        <f t="shared" si="31"/>
        <v>0.06300000000000001</v>
      </c>
      <c r="I77" s="5">
        <f t="shared" si="41"/>
        <v>0.012173573291217666</v>
      </c>
      <c r="J77" s="5">
        <f t="shared" si="53"/>
        <v>0.016006526703433898</v>
      </c>
      <c r="K77" s="4">
        <f t="shared" si="42"/>
        <v>0.034819900005348445</v>
      </c>
      <c r="L77" s="4">
        <f t="shared" si="43"/>
        <v>0.0001837567557512268</v>
      </c>
      <c r="M77" s="4">
        <f>60*B8*LN(U77/U4)</f>
        <v>0.05290244624082759</v>
      </c>
      <c r="N77" s="4">
        <f t="shared" si="44"/>
        <v>9.721181892518162E-06</v>
      </c>
      <c r="O77" s="4">
        <f>SUMPRODUCT($M$4:M77,L$281:$L$354)</f>
        <v>0.027057950143572485</v>
      </c>
      <c r="P77" s="4">
        <f t="shared" si="45"/>
        <v>0.02584449609725511</v>
      </c>
      <c r="Q77" s="4">
        <f>(B5/(B4*B6))*W76</f>
        <v>0.8723124066032902</v>
      </c>
      <c r="R77" s="4">
        <f>(1.558-1.399*B3*0.01)*Q77+(7.4706-0.20207*B3)*0.001*Q77^2-(1.2748-0.12015*B3)*0.00001*Q77^3+(2.4491-0.12639*B3)*0.0000001*Q77^4-(1.5468-0.15326*B3)*0.0000000001*Q77^5</f>
        <v>1.1398484980598689</v>
      </c>
      <c r="S77" s="4">
        <f t="shared" si="58"/>
        <v>0.03439689797349741</v>
      </c>
      <c r="T77" s="5">
        <f>(T4+R77)*EXP(0.0423*BF76)</f>
        <v>280.7165059360692</v>
      </c>
      <c r="U77" s="4">
        <f t="shared" si="46"/>
        <v>280.8615250680023</v>
      </c>
      <c r="V77" s="4">
        <f t="shared" si="32"/>
        <v>0.0005505748659280776</v>
      </c>
      <c r="W77" s="4">
        <f>SUMPRODUCT($J$4:J77,$S$281:S$354)</f>
        <v>0.13876806022404198</v>
      </c>
      <c r="X77" s="6">
        <f>5.35*LN(U77/U4)</f>
        <v>0.016436009720582324</v>
      </c>
      <c r="Y77" s="4">
        <f t="shared" si="47"/>
        <v>1823</v>
      </c>
      <c r="Z77" s="4">
        <f t="shared" si="54"/>
        <v>73</v>
      </c>
      <c r="AA77" s="21">
        <f t="shared" si="48"/>
        <v>27.009999999999998</v>
      </c>
      <c r="AB77" s="6">
        <f>AA77+B16</f>
        <v>133.3453745</v>
      </c>
      <c r="AC77" s="24">
        <f t="shared" si="33"/>
        <v>130.19421124784276</v>
      </c>
      <c r="AD77" s="4">
        <f t="shared" si="34"/>
        <v>5.943353295655423</v>
      </c>
      <c r="AE77" s="4">
        <f t="shared" si="35"/>
        <v>3.1511632521572324</v>
      </c>
      <c r="AF77" s="6">
        <f t="shared" si="55"/>
        <v>773.7901944951245</v>
      </c>
      <c r="AG77" s="30">
        <f>0.036*(SQRT(AF77)-SQRT(B12))</f>
        <v>0.020654523628570672</v>
      </c>
      <c r="AH77" s="27">
        <v>0</v>
      </c>
      <c r="AI77" s="47">
        <f>AH77+B17</f>
        <v>1.975</v>
      </c>
      <c r="AJ77" s="4">
        <f t="shared" si="36"/>
        <v>2.0987856180679088</v>
      </c>
      <c r="AK77" s="4">
        <f>120*(AI77/AI254)^-0.055</f>
        <v>123.69960739219069</v>
      </c>
      <c r="AL77" s="4">
        <f t="shared" si="37"/>
        <v>-0.12378561806790866</v>
      </c>
      <c r="AM77" s="5">
        <f t="shared" si="56"/>
        <v>259.6189569553766</v>
      </c>
      <c r="AN77" s="26">
        <f>0.12*(SQRT(AM77)-SQRT(B13))</f>
        <v>-0.04556723776559224</v>
      </c>
      <c r="AO77" s="4">
        <f t="shared" si="38"/>
        <v>1.4714154507410606</v>
      </c>
      <c r="AP77" s="21">
        <v>0</v>
      </c>
      <c r="AQ77" s="21">
        <f>0.54*(Z77-Z54)+AQ54</f>
        <v>35.42</v>
      </c>
      <c r="AR77" s="21">
        <f t="shared" si="49"/>
        <v>5.11</v>
      </c>
      <c r="AS77" s="35">
        <f t="shared" si="39"/>
        <v>0.16825518360670189</v>
      </c>
      <c r="AT77" s="36">
        <f>-0.32*LN(AF77/AF254)+0.0042*(AI77-AI254)-0.000105*(AQ77-AQ254)-0.000315*(AR77-AR254)</f>
        <v>0.38622482916842565</v>
      </c>
      <c r="AU77" s="4">
        <f>AU254+5*LN(AF77/AF254)+0.125*(AP77-AP254)+0.0011*(AQ77-AQ254)+0.0033*(AR77-AR254)</f>
        <v>24.78645876299335</v>
      </c>
      <c r="AV77" s="4">
        <f>0.042*(AU77-B14)</f>
        <v>-0.00896873195427923</v>
      </c>
      <c r="AW77" s="4">
        <f>0.05*0.036*(SQRT(AF77)-SQRT(B12))</f>
        <v>0.0010327261814285335</v>
      </c>
      <c r="AX77" s="21">
        <v>0</v>
      </c>
      <c r="AY77" s="36">
        <f>-0.4*(AX77/AX254)</f>
        <v>0</v>
      </c>
      <c r="AZ77" s="36">
        <f>-0.8*LN((B15+AX77)/B15)*(LN((B15+AX254)/B15))^-1</f>
        <v>0</v>
      </c>
      <c r="BA77" s="36">
        <f>-0.1*(AQ77/AQ254)</f>
        <v>-0.0040712643678160925</v>
      </c>
      <c r="BB77" s="6">
        <f t="shared" si="50"/>
        <v>-0.020483974557106023</v>
      </c>
      <c r="BC77" s="6">
        <f t="shared" si="57"/>
        <v>0.003157344788729255</v>
      </c>
      <c r="BD77" s="4">
        <f t="shared" si="51"/>
        <v>0.845478153325589</v>
      </c>
      <c r="BE77" s="4">
        <f>SUMPRODUCT(BC$4:BC77,$BD$281:BD$354)</f>
        <v>-0.03364698456361697</v>
      </c>
      <c r="BF77" s="23">
        <f>BE77*B7</f>
        <v>-0.03364698456361697</v>
      </c>
      <c r="BG77" s="48"/>
    </row>
    <row r="78" spans="5:59" ht="15">
      <c r="E78" s="1">
        <f t="shared" si="52"/>
        <v>74</v>
      </c>
      <c r="F78" s="1">
        <f t="shared" si="40"/>
        <v>1824</v>
      </c>
      <c r="G78" s="3">
        <v>0</v>
      </c>
      <c r="H78" s="3">
        <f t="shared" si="31"/>
        <v>0.06400000000000002</v>
      </c>
      <c r="I78" s="5">
        <f t="shared" si="41"/>
        <v>0.012539417722806367</v>
      </c>
      <c r="J78" s="5">
        <f t="shared" si="53"/>
        <v>0.016126517981724223</v>
      </c>
      <c r="K78" s="4">
        <f t="shared" si="42"/>
        <v>0.035334064295469425</v>
      </c>
      <c r="L78" s="4">
        <f t="shared" si="43"/>
        <v>0.00018560407604152653</v>
      </c>
      <c r="M78" s="4">
        <f>60*B8*LN(U78/U4)</f>
        <v>0.055037169084396056</v>
      </c>
      <c r="N78" s="4">
        <f t="shared" si="44"/>
        <v>1.0215122915850598E-05</v>
      </c>
      <c r="O78" s="4">
        <f>SUMPRODUCT($M$4:M78,L$280:$L$354)</f>
        <v>0.028415985258878135</v>
      </c>
      <c r="P78" s="4">
        <f t="shared" si="45"/>
        <v>0.02662118382551792</v>
      </c>
      <c r="Q78" s="4">
        <f>(B5/(B4*B6))*W77</f>
        <v>0.8801421720287304</v>
      </c>
      <c r="R78" s="4">
        <f>(1.558-1.399*B3*0.01)*Q78+(7.4706-0.20207*B3)*0.001*Q78^2-(1.2748-0.12015*B3)*0.00001*Q78^3+(2.4491-0.12639*B3)*0.0000001*Q78^4-(1.5468-0.15326*B3)*0.0000000001*Q78^5</f>
        <v>1.1501058820657961</v>
      </c>
      <c r="S78" s="4">
        <f t="shared" si="58"/>
        <v>0.03445329438876602</v>
      </c>
      <c r="T78" s="5">
        <f>(T4+R78)*EXP(0.0423*BF77)</f>
        <v>280.75023871509325</v>
      </c>
      <c r="U78" s="4">
        <f t="shared" si="46"/>
        <v>280.89634496800767</v>
      </c>
      <c r="V78" s="4">
        <f t="shared" si="32"/>
        <v>0.0005556116714900735</v>
      </c>
      <c r="W78" s="4">
        <f>SUMPRODUCT($J$4:J78,$S$280:S$354)</f>
        <v>0.14002841818237508</v>
      </c>
      <c r="X78" s="6">
        <f>5.35*LN(U78/U4)</f>
        <v>0.017099236620297265</v>
      </c>
      <c r="Y78" s="4">
        <f t="shared" si="47"/>
        <v>1824</v>
      </c>
      <c r="Z78" s="4">
        <f t="shared" si="54"/>
        <v>74</v>
      </c>
      <c r="AA78" s="21">
        <f t="shared" si="48"/>
        <v>27.38</v>
      </c>
      <c r="AB78" s="6">
        <f>AA78+B16</f>
        <v>133.7153745</v>
      </c>
      <c r="AC78" s="24">
        <f t="shared" si="33"/>
        <v>130.55993356105415</v>
      </c>
      <c r="AD78" s="4">
        <f t="shared" si="34"/>
        <v>5.950840633539064</v>
      </c>
      <c r="AE78" s="4">
        <f t="shared" si="35"/>
        <v>3.155440938945844</v>
      </c>
      <c r="AF78" s="6">
        <f t="shared" si="55"/>
        <v>776.9413577472817</v>
      </c>
      <c r="AG78" s="30">
        <f>0.036*(SQRT(AF78)-SQRT(B12))</f>
        <v>0.022691520296597215</v>
      </c>
      <c r="AH78" s="27">
        <v>0</v>
      </c>
      <c r="AI78" s="47">
        <f>AH78+B17</f>
        <v>1.975</v>
      </c>
      <c r="AJ78" s="4">
        <f t="shared" si="36"/>
        <v>2.0977849227490024</v>
      </c>
      <c r="AK78" s="4">
        <f>120*(AI78/AI254)^-0.055</f>
        <v>123.69960739219069</v>
      </c>
      <c r="AL78" s="4">
        <f t="shared" si="37"/>
        <v>-0.12278492274900232</v>
      </c>
      <c r="AM78" s="5">
        <f t="shared" si="56"/>
        <v>259.49517133730865</v>
      </c>
      <c r="AN78" s="26">
        <f>0.12*(SQRT(AM78)-SQRT(B13))</f>
        <v>-0.046028242108111926</v>
      </c>
      <c r="AO78" s="4">
        <f t="shared" si="38"/>
        <v>1.469387380118061</v>
      </c>
      <c r="AP78" s="21">
        <v>0</v>
      </c>
      <c r="AQ78" s="21">
        <f>0.54*(Z78-Z54)+AQ54</f>
        <v>35.96</v>
      </c>
      <c r="AR78" s="21">
        <f t="shared" si="49"/>
        <v>5.180000000000001</v>
      </c>
      <c r="AS78" s="35">
        <f t="shared" si="39"/>
        <v>0.16804348521181675</v>
      </c>
      <c r="AT78" s="36">
        <f>-0.32*LN(AF78/AF254)+0.0042*(AI78-AI254)-0.000105*(AQ78-AQ254)-0.000315*(AR78-AR254)</f>
        <v>0.3848455657079655</v>
      </c>
      <c r="AU78" s="4">
        <f>AU254+5*LN(AF78/AF254)+0.125*(AP78-AP254)+0.0011*(AQ78-AQ254)+0.0033*(AR78-AR254)</f>
        <v>24.80760428581304</v>
      </c>
      <c r="AV78" s="4">
        <f>0.042*(AU78-B14)</f>
        <v>-0.00808061999585238</v>
      </c>
      <c r="AW78" s="4">
        <f>0.05*0.036*(SQRT(AF78)-SQRT(B12))</f>
        <v>0.0011345760148298609</v>
      </c>
      <c r="AX78" s="21">
        <v>0</v>
      </c>
      <c r="AY78" s="36">
        <f>-0.4*(AX78/AX254)</f>
        <v>0</v>
      </c>
      <c r="AZ78" s="36">
        <f>-0.8*LN((B15+AX78)/B15)*(LN((B15+AX254)/B15))^-1</f>
        <v>0</v>
      </c>
      <c r="BA78" s="36">
        <f>-0.1*(AQ78/AQ254)</f>
        <v>-0.0041333333333333335</v>
      </c>
      <c r="BB78" s="6">
        <f t="shared" si="50"/>
        <v>-0.017316862505573304</v>
      </c>
      <c r="BC78" s="6">
        <f t="shared" si="57"/>
        <v>0.0031671120515327188</v>
      </c>
      <c r="BD78" s="4">
        <f t="shared" si="51"/>
        <v>0.8451265677141437</v>
      </c>
      <c r="BE78" s="4">
        <f>SUMPRODUCT(BC$4:BC78,$BD$280:BD$354)</f>
        <v>-0.031648696014575296</v>
      </c>
      <c r="BF78" s="23">
        <f>BE78*B7</f>
        <v>-0.031648696014575296</v>
      </c>
      <c r="BG78" s="48"/>
    </row>
    <row r="79" spans="5:59" ht="15">
      <c r="E79" s="1">
        <f t="shared" si="52"/>
        <v>75</v>
      </c>
      <c r="F79" s="1">
        <f t="shared" si="40"/>
        <v>1825</v>
      </c>
      <c r="G79" s="3">
        <v>0</v>
      </c>
      <c r="H79" s="3">
        <f t="shared" si="31"/>
        <v>0.06500000000000002</v>
      </c>
      <c r="I79" s="5">
        <f t="shared" si="41"/>
        <v>0.01290615415458984</v>
      </c>
      <c r="J79" s="5">
        <f t="shared" si="53"/>
        <v>0.016252684812378567</v>
      </c>
      <c r="K79" s="4">
        <f t="shared" si="42"/>
        <v>0.0358411610330316</v>
      </c>
      <c r="L79" s="4">
        <f t="shared" si="43"/>
        <v>0.0001874699895980192</v>
      </c>
      <c r="M79" s="4">
        <f>60*B8*LN(U79/U4)</f>
        <v>0.05720314358897096</v>
      </c>
      <c r="N79" s="4">
        <f t="shared" si="44"/>
        <v>1.0723872733598384E-05</v>
      </c>
      <c r="O79" s="4">
        <f>SUMPRODUCT($M$4:M79,L$279:$L$354)</f>
        <v>0.029803378318776726</v>
      </c>
      <c r="P79" s="4">
        <f t="shared" si="45"/>
        <v>0.027399765270194235</v>
      </c>
      <c r="Q79" s="4">
        <f>(B5/(B4*B6))*W78</f>
        <v>0.8881360446042353</v>
      </c>
      <c r="R79" s="4">
        <f>(1.558-1.399*B3*0.01)*Q79+(7.4706-0.20207*B3)*0.001*Q79^2-(1.2748-0.12015*B3)*0.00001*Q79^3+(2.4491-0.12639*B3)*0.0000001*Q79^4-(1.5468-0.15326*B3)*0.0000000001*Q79^5</f>
        <v>1.16057873746987</v>
      </c>
      <c r="S79" s="4">
        <f t="shared" si="58"/>
        <v>0.03451003606539215</v>
      </c>
      <c r="T79" s="5">
        <f>(T4+R79)*EXP(0.0423*BF78)</f>
        <v>280.784429707903</v>
      </c>
      <c r="U79" s="4">
        <f t="shared" si="46"/>
        <v>280.9316790323031</v>
      </c>
      <c r="V79" s="4">
        <f t="shared" si="32"/>
        <v>0.0005608807390346356</v>
      </c>
      <c r="W79" s="4">
        <f>SUMPRODUCT($J$4:J79,$S$279:S$354)</f>
        <v>0.1413150310732766</v>
      </c>
      <c r="X79" s="6">
        <f>5.35*LN(U79/U4)</f>
        <v>0.017772172950115833</v>
      </c>
      <c r="Y79" s="4">
        <f t="shared" si="47"/>
        <v>1825</v>
      </c>
      <c r="Z79" s="4">
        <f t="shared" si="54"/>
        <v>75</v>
      </c>
      <c r="AA79" s="21">
        <f t="shared" si="48"/>
        <v>27.75</v>
      </c>
      <c r="AB79" s="6">
        <f>AA79+B16</f>
        <v>134.0853745</v>
      </c>
      <c r="AC79" s="24">
        <f t="shared" si="33"/>
        <v>130.92568655166815</v>
      </c>
      <c r="AD79" s="4">
        <f t="shared" si="34"/>
        <v>5.958317418319378</v>
      </c>
      <c r="AE79" s="4">
        <f t="shared" si="35"/>
        <v>3.1596879483318503</v>
      </c>
      <c r="AF79" s="6">
        <f t="shared" si="55"/>
        <v>780.0967986862275</v>
      </c>
      <c r="AG79" s="30">
        <f>0.036*(SQRT(AF79)-SQRT(B12))</f>
        <v>0.02472714706870994</v>
      </c>
      <c r="AH79" s="27">
        <v>0</v>
      </c>
      <c r="AI79" s="47">
        <f>AH79+B17</f>
        <v>1.975</v>
      </c>
      <c r="AJ79" s="4">
        <f t="shared" si="36"/>
        <v>2.096792317151155</v>
      </c>
      <c r="AK79" s="4">
        <f>120*(AI79/AI254)^-0.055</f>
        <v>123.69960739219069</v>
      </c>
      <c r="AL79" s="4">
        <f t="shared" si="37"/>
        <v>-0.1217923171511548</v>
      </c>
      <c r="AM79" s="5">
        <f t="shared" si="56"/>
        <v>259.3723864145596</v>
      </c>
      <c r="AN79" s="26">
        <f>0.12*(SQRT(AM79)-SQRT(B13))</f>
        <v>-0.04648562828366195</v>
      </c>
      <c r="AO79" s="4">
        <f t="shared" si="38"/>
        <v>1.4673672542346863</v>
      </c>
      <c r="AP79" s="21">
        <v>0</v>
      </c>
      <c r="AQ79" s="21">
        <f>0.54*(Z79-Z54)+AQ54</f>
        <v>36.5</v>
      </c>
      <c r="AR79" s="21">
        <f t="shared" si="49"/>
        <v>5.250000000000001</v>
      </c>
      <c r="AS79" s="35">
        <f t="shared" si="39"/>
        <v>0.16783261612169414</v>
      </c>
      <c r="AT79" s="36">
        <f>-0.32*LN(AF79/AF254)+0.0042*(AI79-AI254)-0.000105*(AQ79-AQ254)-0.000315*(AR79-AR254)</f>
        <v>0.38346981154834414</v>
      </c>
      <c r="AU79" s="4">
        <f>AU254+5*LN(AF79/AF254)+0.125*(AP79-AP254)+0.0011*(AQ79-AQ254)+0.0033*(AR79-AR254)</f>
        <v>24.828694975807124</v>
      </c>
      <c r="AV79" s="4">
        <f>0.042*(AU79-B14)</f>
        <v>-0.007194811016100772</v>
      </c>
      <c r="AW79" s="4">
        <f>0.05*0.036*(SQRT(AF79)-SQRT(B12))</f>
        <v>0.001236357353435497</v>
      </c>
      <c r="AX79" s="21">
        <v>0</v>
      </c>
      <c r="AY79" s="36">
        <f>-0.4*(AX79/AX254)</f>
        <v>0</v>
      </c>
      <c r="AZ79" s="36">
        <f>-0.8*LN((B15+AX79)/B15)*(LN((B15+AX254)/B15))^-1</f>
        <v>0</v>
      </c>
      <c r="BA79" s="36">
        <f>-0.1*(AQ79/AQ254)</f>
        <v>-0.004195402298850575</v>
      </c>
      <c r="BB79" s="6">
        <f t="shared" si="50"/>
        <v>-0.014140164226352028</v>
      </c>
      <c r="BC79" s="6">
        <f t="shared" si="57"/>
        <v>0.0031766982792212767</v>
      </c>
      <c r="BD79" s="4">
        <f t="shared" si="51"/>
        <v>0.8447741821200504</v>
      </c>
      <c r="BE79" s="4">
        <f>SUMPRODUCT(BC$4:BC79,$BD$279:BD$354)</f>
        <v>-0.029631001739677636</v>
      </c>
      <c r="BF79" s="23">
        <f>BE79*B7</f>
        <v>-0.029631001739677636</v>
      </c>
      <c r="BG79" s="48"/>
    </row>
    <row r="80" spans="5:59" ht="15">
      <c r="E80" s="1">
        <f t="shared" si="52"/>
        <v>76</v>
      </c>
      <c r="F80" s="1">
        <f t="shared" si="40"/>
        <v>1826</v>
      </c>
      <c r="G80" s="3">
        <v>0</v>
      </c>
      <c r="H80" s="3">
        <f t="shared" si="31"/>
        <v>0.06600000000000002</v>
      </c>
      <c r="I80" s="5">
        <f t="shared" si="41"/>
        <v>0.013273697207978547</v>
      </c>
      <c r="J80" s="5">
        <f t="shared" si="53"/>
        <v>0.016384857837833874</v>
      </c>
      <c r="K80" s="4">
        <f t="shared" si="42"/>
        <v>0.0363414449541876</v>
      </c>
      <c r="L80" s="4">
        <f t="shared" si="43"/>
        <v>0.00018935468469038116</v>
      </c>
      <c r="M80" s="4">
        <f>60*B8*LN(U80/U4)</f>
        <v>0.05939992477206042</v>
      </c>
      <c r="N80" s="4">
        <f t="shared" si="44"/>
        <v>1.1247654025845862E-05</v>
      </c>
      <c r="O80" s="4">
        <f>SUMPRODUCT($M$4:M80,L$278:$L$354)</f>
        <v>0.031219865599521963</v>
      </c>
      <c r="P80" s="4">
        <f t="shared" si="45"/>
        <v>0.02818005917253846</v>
      </c>
      <c r="Q80" s="4">
        <f>(B5/(B4*B6))*W79</f>
        <v>0.896296440177467</v>
      </c>
      <c r="R80" s="4">
        <f>(1.558-1.399*B3*0.01)*Q80+(7.4706-0.20207*B3)*0.001*Q80^2-(1.2748-0.12015*B3)*0.00001*Q80^3+(2.4491-0.12639*B3)*0.0000001*Q80^4-(1.5468-0.15326*B3)*0.0000000001*Q80^5</f>
        <v>1.1712702595970022</v>
      </c>
      <c r="S80" s="4">
        <f t="shared" si="58"/>
        <v>0.03456712599058563</v>
      </c>
      <c r="T80" s="5">
        <f>(T4+R80)*EXP(0.0423*BF79)</f>
        <v>280.8190733813254</v>
      </c>
      <c r="U80" s="4">
        <f t="shared" si="46"/>
        <v>280.96752019333616</v>
      </c>
      <c r="V80" s="4">
        <f t="shared" si="32"/>
        <v>0.000566377445218238</v>
      </c>
      <c r="W80" s="4">
        <f>SUMPRODUCT($J$4:J80,$S$278:S$354)</f>
        <v>0.14262825234031487</v>
      </c>
      <c r="X80" s="6">
        <f>5.35*LN(U80/U4)</f>
        <v>0.01845468046054142</v>
      </c>
      <c r="Y80" s="4">
        <f t="shared" si="47"/>
        <v>1826</v>
      </c>
      <c r="Z80" s="4">
        <f t="shared" si="54"/>
        <v>76</v>
      </c>
      <c r="AA80" s="21">
        <f t="shared" si="48"/>
        <v>28.12</v>
      </c>
      <c r="AB80" s="6">
        <f>AA80+B16</f>
        <v>134.4553745</v>
      </c>
      <c r="AC80" s="24">
        <f t="shared" si="33"/>
        <v>131.29146712789566</v>
      </c>
      <c r="AD80" s="4">
        <f t="shared" si="34"/>
        <v>5.965783639781873</v>
      </c>
      <c r="AE80" s="4">
        <f t="shared" si="35"/>
        <v>3.1639073721043474</v>
      </c>
      <c r="AF80" s="6">
        <f t="shared" si="55"/>
        <v>783.2564866345595</v>
      </c>
      <c r="AG80" s="30">
        <f>0.036*(SQRT(AF80)-SQRT(B12))</f>
        <v>0.026761392517696887</v>
      </c>
      <c r="AH80" s="27">
        <v>0</v>
      </c>
      <c r="AI80" s="47">
        <f>AH80+B17</f>
        <v>1.975</v>
      </c>
      <c r="AJ80" s="4">
        <f t="shared" si="36"/>
        <v>2.095807735876252</v>
      </c>
      <c r="AK80" s="4">
        <f>120*(AI80/AI254)^-0.055</f>
        <v>123.69960739219069</v>
      </c>
      <c r="AL80" s="4">
        <f t="shared" si="37"/>
        <v>-0.12080773587625204</v>
      </c>
      <c r="AM80" s="5">
        <f t="shared" si="56"/>
        <v>259.25059409740845</v>
      </c>
      <c r="AN80" s="26">
        <f>0.12*(SQRT(AM80)-SQRT(B13))</f>
        <v>-0.046939423868391256</v>
      </c>
      <c r="AO80" s="4">
        <f t="shared" si="38"/>
        <v>1.4653550352490623</v>
      </c>
      <c r="AP80" s="21">
        <v>0</v>
      </c>
      <c r="AQ80" s="21">
        <f>0.54*(Z80-Z54)+AQ54</f>
        <v>37.04</v>
      </c>
      <c r="AR80" s="21">
        <f t="shared" si="49"/>
        <v>5.32</v>
      </c>
      <c r="AS80" s="35">
        <f t="shared" si="39"/>
        <v>0.16762257238624279</v>
      </c>
      <c r="AT80" s="36">
        <f>-0.32*LN(AF80/AF254)+0.0042*(AI80-AI254)-0.000105*(AQ80-AQ254)-0.000315*(AR80-AR254)</f>
        <v>0.3820975579881598</v>
      </c>
      <c r="AU80" s="4">
        <f>AU254+5*LN(AF80/AF254)+0.125*(AP80-AP254)+0.0011*(AQ80-AQ254)+0.0033*(AR80-AR254)</f>
        <v>24.849730968935003</v>
      </c>
      <c r="AV80" s="4">
        <f>0.042*(AU80-B14)</f>
        <v>-0.0063112993047298935</v>
      </c>
      <c r="AW80" s="4">
        <f>0.05*0.036*(SQRT(AF80)-SQRT(B12))</f>
        <v>0.0013380696258848445</v>
      </c>
      <c r="AX80" s="21">
        <v>0</v>
      </c>
      <c r="AY80" s="36">
        <f>-0.4*(AX80/AX254)</f>
        <v>0</v>
      </c>
      <c r="AZ80" s="36">
        <f>-0.8*LN((B15+AX80)/B15)*(LN((B15+AX254)/B15))^-1</f>
        <v>0</v>
      </c>
      <c r="BA80" s="36">
        <f>-0.1*(AQ80/AQ254)</f>
        <v>-0.004257471264367816</v>
      </c>
      <c r="BB80" s="6">
        <f t="shared" si="50"/>
        <v>-0.010954051833365813</v>
      </c>
      <c r="BC80" s="6">
        <f t="shared" si="57"/>
        <v>0.0031861123929862144</v>
      </c>
      <c r="BD80" s="4">
        <f t="shared" si="51"/>
        <v>0.8444209947219675</v>
      </c>
      <c r="BE80" s="4">
        <f>SUMPRODUCT(BC$4:BC80,$BD$278:BD$354)</f>
        <v>-0.027594606746331636</v>
      </c>
      <c r="BF80" s="23">
        <f>BE80*B7</f>
        <v>-0.027594606746331636</v>
      </c>
      <c r="BG80" s="48"/>
    </row>
    <row r="81" spans="5:59" ht="15">
      <c r="E81" s="1">
        <f t="shared" si="52"/>
        <v>77</v>
      </c>
      <c r="F81" s="1">
        <f t="shared" si="40"/>
        <v>1827</v>
      </c>
      <c r="G81" s="3">
        <v>0</v>
      </c>
      <c r="H81" s="3">
        <f t="shared" si="31"/>
        <v>0.06700000000000002</v>
      </c>
      <c r="I81" s="5">
        <f t="shared" si="41"/>
        <v>0.013641966745598286</v>
      </c>
      <c r="J81" s="5">
        <f t="shared" si="53"/>
        <v>0.016522866657456642</v>
      </c>
      <c r="K81" s="4">
        <f t="shared" si="42"/>
        <v>0.03683516659694509</v>
      </c>
      <c r="L81" s="4">
        <f t="shared" si="43"/>
        <v>0.0001912583515524277</v>
      </c>
      <c r="M81" s="4">
        <f>60*B8*LN(U81/U4)</f>
        <v>0.061627083318616833</v>
      </c>
      <c r="N81" s="4">
        <f t="shared" si="44"/>
        <v>1.1786694366502771E-05</v>
      </c>
      <c r="O81" s="4">
        <f>SUMPRODUCT($M$4:M81,L$277:$L$354)</f>
        <v>0.03266518791771167</v>
      </c>
      <c r="P81" s="4">
        <f t="shared" si="45"/>
        <v>0.028961895400905165</v>
      </c>
      <c r="Q81" s="4">
        <f>(B5/(B4*B6))*W80</f>
        <v>0.9046256004789032</v>
      </c>
      <c r="R81" s="4">
        <f>(1.558-1.399*B3*0.01)*Q81+(7.4706-0.20207*B3)*0.001*Q81^2-(1.2748-0.12015*B3)*0.00001*Q81^3+(2.4491-0.12639*B3)*0.0000001*Q81^4-(1.5468-0.15326*B3)*0.0000000001*Q81^5</f>
        <v>1.1821834168667962</v>
      </c>
      <c r="S81" s="4">
        <f t="shared" si="58"/>
        <v>0.034624567186584104</v>
      </c>
      <c r="T81" s="5">
        <f>(T4+R81)*EXP(0.0423*BF80)</f>
        <v>280.8541644663738</v>
      </c>
      <c r="U81" s="4">
        <f t="shared" si="46"/>
        <v>281.00386163829035</v>
      </c>
      <c r="V81" s="4">
        <f t="shared" si="32"/>
        <v>0.0005720971066960778</v>
      </c>
      <c r="W81" s="4">
        <f>SUMPRODUCT($J$4:J81,$S$277:S$354)</f>
        <v>0.1439683989275209</v>
      </c>
      <c r="X81" s="6">
        <f>5.35*LN(U81/U4)</f>
        <v>0.01914662576972126</v>
      </c>
      <c r="Y81" s="4">
        <f t="shared" si="47"/>
        <v>1827</v>
      </c>
      <c r="Z81" s="4">
        <f t="shared" si="54"/>
        <v>77</v>
      </c>
      <c r="AA81" s="21">
        <f t="shared" si="48"/>
        <v>28.49</v>
      </c>
      <c r="AB81" s="6">
        <f>AA81+B16</f>
        <v>134.8253745</v>
      </c>
      <c r="AC81" s="24">
        <f t="shared" si="33"/>
        <v>131.65727257649573</v>
      </c>
      <c r="AD81" s="4">
        <f t="shared" si="34"/>
        <v>5.973239294849713</v>
      </c>
      <c r="AE81" s="4">
        <f t="shared" si="35"/>
        <v>3.168101923504281</v>
      </c>
      <c r="AF81" s="6">
        <f t="shared" si="55"/>
        <v>786.4203940066639</v>
      </c>
      <c r="AG81" s="30">
        <f>0.036*(SQRT(AF81)-SQRT(B12))</f>
        <v>0.028794247287327976</v>
      </c>
      <c r="AH81" s="27">
        <v>0</v>
      </c>
      <c r="AI81" s="47">
        <f>AH81+B17</f>
        <v>1.975</v>
      </c>
      <c r="AJ81" s="4">
        <f t="shared" si="36"/>
        <v>2.0948311140548648</v>
      </c>
      <c r="AK81" s="4">
        <f>120*(AI81/AI254)^-0.055</f>
        <v>123.69960739219069</v>
      </c>
      <c r="AL81" s="4">
        <f t="shared" si="37"/>
        <v>-0.11983111405486468</v>
      </c>
      <c r="AM81" s="5">
        <f t="shared" si="56"/>
        <v>259.1297863615322</v>
      </c>
      <c r="AN81" s="26">
        <f>0.12*(SQRT(AM81)-SQRT(B13))</f>
        <v>-0.047389656240730035</v>
      </c>
      <c r="AO81" s="4">
        <f t="shared" si="38"/>
        <v>1.463350683662288</v>
      </c>
      <c r="AP81" s="21">
        <v>0</v>
      </c>
      <c r="AQ81" s="21">
        <f>0.54*(Z81-Z54)+AQ54</f>
        <v>37.58</v>
      </c>
      <c r="AR81" s="21">
        <f t="shared" si="49"/>
        <v>5.390000000000001</v>
      </c>
      <c r="AS81" s="35">
        <f t="shared" si="39"/>
        <v>0.16741334988240414</v>
      </c>
      <c r="AT81" s="36">
        <f>-0.32*LN(AF81/AF254)+0.0042*(AI81-AI254)-0.000105*(AQ81-AQ254)-0.000315*(AR81-AR254)</f>
        <v>0.3807287950655055</v>
      </c>
      <c r="AU81" s="4">
        <f>AU254+5*LN(AF81/AF254)+0.125*(AP81-AP254)+0.0011*(AQ81-AQ254)+0.0033*(AR81-AR254)</f>
        <v>24.870712420851476</v>
      </c>
      <c r="AV81" s="4">
        <f>0.042*(AU81-B14)</f>
        <v>-0.005430078324238025</v>
      </c>
      <c r="AW81" s="4">
        <f>0.05*0.036*(SQRT(AF81)-SQRT(B12))</f>
        <v>0.0014397123643663987</v>
      </c>
      <c r="AX81" s="21">
        <v>0</v>
      </c>
      <c r="AY81" s="36">
        <f>-0.4*(AX81/AX254)</f>
        <v>0</v>
      </c>
      <c r="AZ81" s="36">
        <f>-0.8*LN((B15+AX81)/B15)*(LN((B15+AX254)/B15))^-1</f>
        <v>0</v>
      </c>
      <c r="BA81" s="36">
        <f>-0.1*(AQ81/AQ254)</f>
        <v>-0.004319540229885057</v>
      </c>
      <c r="BB81" s="6">
        <f t="shared" si="50"/>
        <v>-0.0077586893734374815</v>
      </c>
      <c r="BC81" s="6">
        <f t="shared" si="57"/>
        <v>0.0031953624599283317</v>
      </c>
      <c r="BD81" s="4">
        <f t="shared" si="51"/>
        <v>0.8440670036943284</v>
      </c>
      <c r="BE81" s="4">
        <f>SUMPRODUCT(BC$4:BC81,$BD$277:BD$354)</f>
        <v>-0.025540176950944415</v>
      </c>
      <c r="BF81" s="23">
        <f>BE81*B7</f>
        <v>-0.025540176950944415</v>
      </c>
      <c r="BG81" s="48"/>
    </row>
    <row r="82" spans="5:59" ht="15">
      <c r="E82" s="1">
        <f t="shared" si="52"/>
        <v>78</v>
      </c>
      <c r="F82" s="1">
        <f t="shared" si="40"/>
        <v>1828</v>
      </c>
      <c r="G82" s="3">
        <v>0</v>
      </c>
      <c r="H82" s="3">
        <f t="shared" si="31"/>
        <v>0.06800000000000002</v>
      </c>
      <c r="I82" s="5">
        <f t="shared" si="41"/>
        <v>0.014010887720236747</v>
      </c>
      <c r="J82" s="5">
        <f t="shared" si="53"/>
        <v>0.01666655073858695</v>
      </c>
      <c r="K82" s="4">
        <f t="shared" si="42"/>
        <v>0.03732256154117632</v>
      </c>
      <c r="L82" s="4">
        <f t="shared" si="43"/>
        <v>0.0001931811824055439</v>
      </c>
      <c r="M82" s="4">
        <f>60*B8*LN(U82/U4)</f>
        <v>0.06388420532141649</v>
      </c>
      <c r="N82" s="4">
        <f t="shared" si="44"/>
        <v>1.2341226321029777E-05</v>
      </c>
      <c r="O82" s="4">
        <f>SUMPRODUCT($M$4:M82,L$276:$L$354)</f>
        <v>0.034139090691353874</v>
      </c>
      <c r="P82" s="4">
        <f t="shared" si="45"/>
        <v>0.029745114630062616</v>
      </c>
      <c r="Q82" s="4">
        <f>(B5/(B4*B6))*W81</f>
        <v>0.9131255357391933</v>
      </c>
      <c r="R82" s="4">
        <f>(1.558-1.399*B3*0.01)*Q82+(7.4706-0.20207*B3)*0.001*Q82^2-(1.2748-0.12015*B3)*0.00001*Q82^3+(2.4491-0.12639*B3)*0.0000001*Q82^4-(1.5468-0.15326*B3)*0.0000000001*Q82^5</f>
        <v>1.1933208755779563</v>
      </c>
      <c r="S82" s="4">
        <f t="shared" si="58"/>
        <v>0.034682362711139225</v>
      </c>
      <c r="T82" s="5">
        <f>(T4+R82)*EXP(0.0423*BF81)</f>
        <v>280.8896978551957</v>
      </c>
      <c r="U82" s="4">
        <f t="shared" si="46"/>
        <v>281.0406968048873</v>
      </c>
      <c r="V82" s="4">
        <f t="shared" si="32"/>
        <v>0.000578035357859278</v>
      </c>
      <c r="W82" s="4">
        <f>SUMPRODUCT($J$4:J82,$S$276:S$354)</f>
        <v>0.14533576117329916</v>
      </c>
      <c r="X82" s="6">
        <f>5.35*LN(U82/U4)</f>
        <v>0.019847880282786192</v>
      </c>
      <c r="Y82" s="4">
        <f t="shared" si="47"/>
        <v>1828</v>
      </c>
      <c r="Z82" s="4">
        <f t="shared" si="54"/>
        <v>78</v>
      </c>
      <c r="AA82" s="21">
        <f t="shared" si="48"/>
        <v>28.86</v>
      </c>
      <c r="AB82" s="6">
        <f>AA82+B16</f>
        <v>135.1953745</v>
      </c>
      <c r="AC82" s="24">
        <f t="shared" si="33"/>
        <v>132.02310051565973</v>
      </c>
      <c r="AD82" s="4">
        <f t="shared" si="34"/>
        <v>5.980684386642716</v>
      </c>
      <c r="AE82" s="4">
        <f t="shared" si="35"/>
        <v>3.172273984340279</v>
      </c>
      <c r="AF82" s="6">
        <f t="shared" si="55"/>
        <v>789.5884959301682</v>
      </c>
      <c r="AG82" s="30">
        <f>0.036*(SQRT(AF82)-SQRT(B12))</f>
        <v>0.030825703828914225</v>
      </c>
      <c r="AH82" s="27">
        <v>0</v>
      </c>
      <c r="AI82" s="47">
        <f>AH82+B17</f>
        <v>1.975</v>
      </c>
      <c r="AJ82" s="4">
        <f t="shared" si="36"/>
        <v>2.093862387341974</v>
      </c>
      <c r="AK82" s="4">
        <f>120*(AI82/AI254)^-0.055</f>
        <v>123.69960739219069</v>
      </c>
      <c r="AL82" s="4">
        <f t="shared" si="37"/>
        <v>-0.11886238734197407</v>
      </c>
      <c r="AM82" s="5">
        <f t="shared" si="56"/>
        <v>259.0099552474773</v>
      </c>
      <c r="AN82" s="26">
        <f>0.12*(SQRT(AM82)-SQRT(B13))</f>
        <v>-0.04783635258262052</v>
      </c>
      <c r="AO82" s="4">
        <f t="shared" si="38"/>
        <v>1.4613541585921623</v>
      </c>
      <c r="AP82" s="21">
        <v>0</v>
      </c>
      <c r="AQ82" s="21">
        <f>0.54*(Z82-Z54)+AQ54</f>
        <v>38.120000000000005</v>
      </c>
      <c r="AR82" s="21">
        <f t="shared" si="49"/>
        <v>5.460000000000001</v>
      </c>
      <c r="AS82" s="35">
        <f t="shared" si="39"/>
        <v>0.16720494434272504</v>
      </c>
      <c r="AT82" s="36">
        <f>-0.32*LN(AF82/AF254)+0.0042*(AI82-AI254)-0.000105*(AQ82-AQ254)-0.000315*(AR82-AR254)</f>
        <v>0.3793635117374871</v>
      </c>
      <c r="AU82" s="4">
        <f>AU254+5*LN(AF82/AF254)+0.125*(AP82-AP254)+0.0011*(AQ82-AQ254)+0.0033*(AR82-AR254)</f>
        <v>24.891639504101764</v>
      </c>
      <c r="AV82" s="4">
        <f>0.042*(AU82-B14)</f>
        <v>-0.004551140827725895</v>
      </c>
      <c r="AW82" s="4">
        <f>0.05*0.036*(SQRT(AF82)-SQRT(B12))</f>
        <v>0.0015412851914457114</v>
      </c>
      <c r="AX82" s="21">
        <v>0</v>
      </c>
      <c r="AY82" s="36">
        <f>-0.4*(AX82/AX254)</f>
        <v>0</v>
      </c>
      <c r="AZ82" s="36">
        <f>-0.8*LN((B15+AX82)/B15)*(LN((B15+AX254)/B15))^-1</f>
        <v>0</v>
      </c>
      <c r="BA82" s="36">
        <f>-0.1*(AQ82/AQ254)</f>
        <v>-0.004381609195402299</v>
      </c>
      <c r="BB82" s="6">
        <f t="shared" si="50"/>
        <v>-0.004554233302602583</v>
      </c>
      <c r="BC82" s="6">
        <f t="shared" si="57"/>
        <v>0.0032044560708348983</v>
      </c>
      <c r="BD82" s="4">
        <f t="shared" si="51"/>
        <v>0.8437122072073252</v>
      </c>
      <c r="BE82" s="4">
        <f>SUMPRODUCT(BC$4:BC82,$BD$276:BD$354)</f>
        <v>-0.023468341419476204</v>
      </c>
      <c r="BF82" s="23">
        <f>BE82*B7</f>
        <v>-0.023468341419476204</v>
      </c>
      <c r="BG82" s="48"/>
    </row>
    <row r="83" spans="5:59" ht="15">
      <c r="E83" s="1">
        <f t="shared" si="52"/>
        <v>79</v>
      </c>
      <c r="F83" s="1">
        <f t="shared" si="40"/>
        <v>1829</v>
      </c>
      <c r="G83" s="3">
        <v>0</v>
      </c>
      <c r="H83" s="3">
        <f t="shared" si="31"/>
        <v>0.06900000000000002</v>
      </c>
      <c r="I83" s="5">
        <f t="shared" si="41"/>
        <v>0.014380389720639786</v>
      </c>
      <c r="J83" s="5">
        <f t="shared" si="53"/>
        <v>0.016815751636017097</v>
      </c>
      <c r="K83" s="4">
        <f t="shared" si="42"/>
        <v>0.03780385864334314</v>
      </c>
      <c r="L83" s="4">
        <f t="shared" si="43"/>
        <v>0.00019512337148254157</v>
      </c>
      <c r="M83" s="4">
        <f>60*B8*LN(U83/U4)</f>
        <v>0.06617089136190743</v>
      </c>
      <c r="N83" s="4">
        <f t="shared" si="44"/>
        <v>1.2911487416540364E-05</v>
      </c>
      <c r="O83" s="4">
        <f>SUMPRODUCT($M$4:M83,L$275:$L$354)</f>
        <v>0.03564132398498916</v>
      </c>
      <c r="P83" s="4">
        <f t="shared" si="45"/>
        <v>0.030529567376918268</v>
      </c>
      <c r="Q83" s="4">
        <f>(B5/(B4*B6))*W82</f>
        <v>0.9217980874416986</v>
      </c>
      <c r="R83" s="4">
        <f>(1.558-1.399*B3*0.01)*Q83+(7.4706-0.20207*B3)*0.001*Q83^2-(1.2748-0.12015*B3)*0.00001*Q83^3+(2.4491-0.12639*B3)*0.0000001*Q83^4-(1.5468-0.15326*B3)*0.0000000001*Q83^5</f>
        <v>1.2046850820917907</v>
      </c>
      <c r="S83" s="4">
        <f t="shared" si="58"/>
        <v>0.034740515658010396</v>
      </c>
      <c r="T83" s="5">
        <f>(T4+R83)*EXP(0.0423*BF82)</f>
        <v>280.9256686566062</v>
      </c>
      <c r="U83" s="4">
        <f t="shared" si="46"/>
        <v>281.0780193664285</v>
      </c>
      <c r="V83" s="4">
        <f t="shared" si="32"/>
        <v>0.0005841878830122659</v>
      </c>
      <c r="W83" s="4">
        <f>SUMPRODUCT($J$4:J83,$S$275:S$354)</f>
        <v>0.14673059940265398</v>
      </c>
      <c r="X83" s="6">
        <f>5.35*LN(U83/U4)</f>
        <v>0.020558319906283665</v>
      </c>
      <c r="Y83" s="4">
        <f t="shared" si="47"/>
        <v>1829</v>
      </c>
      <c r="Z83" s="4">
        <f t="shared" si="54"/>
        <v>79</v>
      </c>
      <c r="AA83" s="21">
        <f t="shared" si="48"/>
        <v>29.23</v>
      </c>
      <c r="AB83" s="6">
        <f>AA83+B16</f>
        <v>135.5653745</v>
      </c>
      <c r="AC83" s="24">
        <f t="shared" si="33"/>
        <v>132.38894885381464</v>
      </c>
      <c r="AD83" s="4">
        <f t="shared" si="34"/>
        <v>5.988118923656414</v>
      </c>
      <c r="AE83" s="4">
        <f t="shared" si="35"/>
        <v>3.1764256461853506</v>
      </c>
      <c r="AF83" s="6">
        <f t="shared" si="55"/>
        <v>792.7607699145085</v>
      </c>
      <c r="AG83" s="30">
        <f>0.036*(SQRT(AF83)-SQRT(B12))</f>
        <v>0.03285575617119491</v>
      </c>
      <c r="AH83" s="27">
        <v>0</v>
      </c>
      <c r="AI83" s="47">
        <f>AH83+B17</f>
        <v>1.975</v>
      </c>
      <c r="AJ83" s="4">
        <f t="shared" si="36"/>
        <v>2.092901491912734</v>
      </c>
      <c r="AK83" s="4">
        <f>120*(AI83/AI254)^-0.055</f>
        <v>123.69960739219069</v>
      </c>
      <c r="AL83" s="4">
        <f t="shared" si="37"/>
        <v>-0.11790149191273391</v>
      </c>
      <c r="AM83" s="5">
        <f t="shared" si="56"/>
        <v>258.89109286013536</v>
      </c>
      <c r="AN83" s="26">
        <f>0.12*(SQRT(AM83)-SQRT(B13))</f>
        <v>-0.04827953988074398</v>
      </c>
      <c r="AO83" s="4">
        <f t="shared" si="38"/>
        <v>1.4593654180107325</v>
      </c>
      <c r="AP83" s="21">
        <v>0</v>
      </c>
      <c r="AQ83" s="21">
        <f>0.54*(Z83-Z54)+AQ54</f>
        <v>38.66</v>
      </c>
      <c r="AR83" s="21">
        <f t="shared" si="49"/>
        <v>5.53</v>
      </c>
      <c r="AS83" s="35">
        <f t="shared" si="39"/>
        <v>0.16699735138015406</v>
      </c>
      <c r="AT83" s="36">
        <f>-0.32*LN(AF83/AF254)+0.0042*(AI83-AI254)-0.000105*(AQ83-AQ254)-0.000315*(AR83-AR254)</f>
        <v>0.37800169603651307</v>
      </c>
      <c r="AU83" s="4">
        <f>AU254+5*LN(AF83/AF254)+0.125*(AP83-AP254)+0.0011*(AQ83-AQ254)+0.0033*(AR83-AR254)</f>
        <v>24.912512405679486</v>
      </c>
      <c r="AV83" s="4">
        <f>0.042*(AU83-B14)</f>
        <v>-0.0036744789614615884</v>
      </c>
      <c r="AW83" s="4">
        <f>0.05*0.036*(SQRT(AF83)-SQRT(B12))</f>
        <v>0.0016427878085597456</v>
      </c>
      <c r="AX83" s="21">
        <v>0</v>
      </c>
      <c r="AY83" s="36">
        <f>-0.4*(AX83/AX254)</f>
        <v>0</v>
      </c>
      <c r="AZ83" s="36">
        <f>-0.8*LN((B15+AX83)/B15)*(LN((B15+AX254)/B15))^-1</f>
        <v>0</v>
      </c>
      <c r="BA83" s="36">
        <f>-0.1*(AQ83/AQ254)</f>
        <v>-0.00444367816091954</v>
      </c>
      <c r="BB83" s="6">
        <f t="shared" si="50"/>
        <v>-0.0013408331170867843</v>
      </c>
      <c r="BC83" s="6">
        <f t="shared" si="57"/>
        <v>0.003213400185515799</v>
      </c>
      <c r="BD83" s="4">
        <f t="shared" si="51"/>
        <v>0.8433566034268936</v>
      </c>
      <c r="BE83" s="4">
        <f>SUMPRODUCT(BC$4:BC83,$BD$275:BD$354)</f>
        <v>-0.02137969448032088</v>
      </c>
      <c r="BF83" s="23">
        <f>BE83*B7</f>
        <v>-0.02137969448032088</v>
      </c>
      <c r="BG83" s="48"/>
    </row>
    <row r="84" spans="5:59" ht="15">
      <c r="E84" s="1">
        <f t="shared" si="52"/>
        <v>80</v>
      </c>
      <c r="F84" s="1">
        <f t="shared" si="40"/>
        <v>1830</v>
      </c>
      <c r="G84" s="3">
        <v>0</v>
      </c>
      <c r="H84" s="3">
        <f t="shared" si="31"/>
        <v>0.07000000000000002</v>
      </c>
      <c r="I84" s="5">
        <f t="shared" si="41"/>
        <v>0.01475040677029401</v>
      </c>
      <c r="J84" s="5">
        <f t="shared" si="53"/>
        <v>0.016970318139037693</v>
      </c>
      <c r="K84" s="4">
        <f t="shared" si="42"/>
        <v>0.03827927509066832</v>
      </c>
      <c r="L84" s="4">
        <f t="shared" si="43"/>
        <v>0.00019708511505195296</v>
      </c>
      <c r="M84" s="4">
        <f>60*B8*LN(U84/U4)</f>
        <v>0.06848675609574688</v>
      </c>
      <c r="N84" s="4">
        <f t="shared" si="44"/>
        <v>1.3497720204665314E-05</v>
      </c>
      <c r="O84" s="4">
        <f>SUMPRODUCT($M$4:M84,L$274:$L$354)</f>
        <v>0.037171642522412694</v>
      </c>
      <c r="P84" s="4">
        <f t="shared" si="45"/>
        <v>0.031315113573334184</v>
      </c>
      <c r="Q84" s="4">
        <f>(B5/(B4*B6))*W83</f>
        <v>0.9306449067085457</v>
      </c>
      <c r="R84" s="4">
        <f>(1.558-1.399*B3*0.01)*Q84+(7.4706-0.20207*B3)*0.001*Q84^2-(1.2748-0.12015*B3)*0.00001*Q84^3+(2.4491-0.12639*B3)*0.0000001*Q84^4-(1.5468-0.15326*B3)*0.0000000001*Q84^5</f>
        <v>1.2162782344775307</v>
      </c>
      <c r="S84" s="4">
        <f t="shared" si="58"/>
        <v>0.03479902915746633</v>
      </c>
      <c r="T84" s="5">
        <f>(T4+R84)*EXP(0.0423*BF83)</f>
        <v>280.96207214273215</v>
      </c>
      <c r="U84" s="4">
        <f t="shared" si="46"/>
        <v>281.11582322507184</v>
      </c>
      <c r="V84" s="4">
        <f t="shared" si="32"/>
        <v>0.0005905505957318523</v>
      </c>
      <c r="W84" s="4">
        <f>SUMPRODUCT($J$4:J84,$S$274:S$354)</f>
        <v>0.14815314951643882</v>
      </c>
      <c r="X84" s="6">
        <f>5.35*LN(U84/U4)</f>
        <v>0.021277824919410326</v>
      </c>
      <c r="Y84" s="4">
        <f t="shared" si="47"/>
        <v>1830</v>
      </c>
      <c r="Z84" s="4">
        <f t="shared" si="54"/>
        <v>80</v>
      </c>
      <c r="AA84" s="21">
        <f t="shared" si="48"/>
        <v>29.6</v>
      </c>
      <c r="AB84" s="6">
        <f>AA84+B16</f>
        <v>135.9353745</v>
      </c>
      <c r="AC84" s="24">
        <f t="shared" si="33"/>
        <v>132.75481575359493</v>
      </c>
      <c r="AD84" s="4">
        <f t="shared" si="34"/>
        <v>5.995542919045786</v>
      </c>
      <c r="AE84" s="4">
        <f t="shared" si="35"/>
        <v>3.180558746405069</v>
      </c>
      <c r="AF84" s="6">
        <f t="shared" si="55"/>
        <v>795.9371955606939</v>
      </c>
      <c r="AG84" s="30">
        <f>0.036*(SQRT(AF84)-SQRT(B12))</f>
        <v>0.03488439971930474</v>
      </c>
      <c r="AH84" s="27">
        <v>0</v>
      </c>
      <c r="AI84" s="47">
        <f>AH84+B17</f>
        <v>1.975</v>
      </c>
      <c r="AJ84" s="4">
        <f t="shared" si="36"/>
        <v>2.0919483644582635</v>
      </c>
      <c r="AK84" s="4">
        <f>120*(AI84/AI254)^-0.055</f>
        <v>123.69960739219069</v>
      </c>
      <c r="AL84" s="4">
        <f t="shared" si="37"/>
        <v>-0.1169483644582634</v>
      </c>
      <c r="AM84" s="5">
        <f t="shared" si="56"/>
        <v>258.7731913682226</v>
      </c>
      <c r="AN84" s="26">
        <f>0.12*(SQRT(AM84)-SQRT(B13))</f>
        <v>-0.04871924492774255</v>
      </c>
      <c r="AO84" s="4">
        <f t="shared" si="38"/>
        <v>1.4573844189503973</v>
      </c>
      <c r="AP84" s="21">
        <v>0</v>
      </c>
      <c r="AQ84" s="21">
        <f>0.54*(Z84-Z54)+AQ54</f>
        <v>39.2</v>
      </c>
      <c r="AR84" s="21">
        <f t="shared" si="49"/>
        <v>5.6000000000000005</v>
      </c>
      <c r="AS84" s="35">
        <f t="shared" si="39"/>
        <v>0.1667905665095554</v>
      </c>
      <c r="AT84" s="36">
        <f>-0.32*LN(AF84/AF254)+0.0042*(AI84-AI254)-0.000105*(AQ84-AQ254)-0.000315*(AR84-AR254)</f>
        <v>0.37664333520636273</v>
      </c>
      <c r="AU84" s="4">
        <f>AU254+5*LN(AF84/AF254)+0.125*(AP84-AP254)+0.0011*(AQ84-AQ254)+0.0033*(AR84-AR254)</f>
        <v>24.933331324900582</v>
      </c>
      <c r="AV84" s="4">
        <f>0.042*(AU84-B14)</f>
        <v>-0.00280008435417556</v>
      </c>
      <c r="AW84" s="4">
        <f>0.05*0.036*(SQRT(AF84)-SQRT(B12))</f>
        <v>0.001744219985965237</v>
      </c>
      <c r="AX84" s="21">
        <v>0</v>
      </c>
      <c r="AY84" s="36">
        <f>-0.4*(AX84/AX254)</f>
        <v>0</v>
      </c>
      <c r="AZ84" s="36">
        <f>-0.8*LN((B15+AX84)/B15)*(LN((B15+AX254)/B15))^-1</f>
        <v>0</v>
      </c>
      <c r="BA84" s="36">
        <f>-0.1*(AQ84/AQ254)</f>
        <v>-0.004505747126436782</v>
      </c>
      <c r="BB84" s="6">
        <f t="shared" si="50"/>
        <v>0.0018813682163254103</v>
      </c>
      <c r="BC84" s="6">
        <f t="shared" si="57"/>
        <v>0.0032222013334121946</v>
      </c>
      <c r="BD84" s="4">
        <f t="shared" si="51"/>
        <v>0.8430001905146954</v>
      </c>
      <c r="BE84" s="4">
        <f>SUMPRODUCT(BC$4:BC84,$BD$274:BD$354)</f>
        <v>-0.019274797725566648</v>
      </c>
      <c r="BF84" s="23">
        <f>BE84*B7</f>
        <v>-0.019274797725566648</v>
      </c>
      <c r="BG84" s="48"/>
    </row>
    <row r="85" spans="5:59" ht="15">
      <c r="E85" s="1">
        <f t="shared" si="52"/>
        <v>81</v>
      </c>
      <c r="F85" s="1">
        <f t="shared" si="40"/>
        <v>1831</v>
      </c>
      <c r="G85" s="3">
        <v>0</v>
      </c>
      <c r="H85" s="3">
        <f t="shared" si="31"/>
        <v>0.07100000000000002</v>
      </c>
      <c r="I85" s="5">
        <f t="shared" si="41"/>
        <v>0.015120876988364135</v>
      </c>
      <c r="J85" s="5">
        <f t="shared" si="53"/>
        <v>0.017130102482986905</v>
      </c>
      <c r="K85" s="4">
        <f t="shared" si="42"/>
        <v>0.03874902052864898</v>
      </c>
      <c r="L85" s="4">
        <f t="shared" si="43"/>
        <v>0.00019906661144277987</v>
      </c>
      <c r="M85" s="4">
        <f>60*B8*LN(U85/U4)</f>
        <v>0.07083142753528449</v>
      </c>
      <c r="N85" s="4">
        <f t="shared" si="44"/>
        <v>1.4100172263103896E-05</v>
      </c>
      <c r="O85" s="4">
        <f>SUMPRODUCT($M$4:M85,L$273:$L$354)</f>
        <v>0.03872980568898742</v>
      </c>
      <c r="P85" s="4">
        <f t="shared" si="45"/>
        <v>0.032101621846297064</v>
      </c>
      <c r="Q85" s="4">
        <f>(B5/(B4*B6))*W84</f>
        <v>0.9396674897506728</v>
      </c>
      <c r="R85" s="4">
        <f>(1.558-1.399*B3*0.01)*Q85+(7.4706-0.20207*B3)*0.001*Q85^2-(1.2748-0.12015*B3)*0.00001*Q85^3+(2.4491-0.12639*B3)*0.0000001*Q85^4-(1.5468-0.15326*B3)*0.0000000001*Q85^5</f>
        <v>1.2281023289299389</v>
      </c>
      <c r="S85" s="4">
        <f t="shared" si="58"/>
        <v>0.034857906376794395</v>
      </c>
      <c r="T85" s="5">
        <f>(T4+R85)*EXP(0.0423*BF84)</f>
        <v>280.9989037716666</v>
      </c>
      <c r="U85" s="4">
        <f t="shared" si="46"/>
        <v>281.1541025001625</v>
      </c>
      <c r="V85" s="4">
        <f t="shared" si="32"/>
        <v>0.0005971195085768508</v>
      </c>
      <c r="W85" s="4">
        <f>SUMPRODUCT($J$4:J85,$S$273:S$354)</f>
        <v>0.1496036221697799</v>
      </c>
      <c r="X85" s="6">
        <f>5.35*LN(U85/U4)</f>
        <v>0.022006279751090128</v>
      </c>
      <c r="Y85" s="4">
        <f t="shared" si="47"/>
        <v>1831</v>
      </c>
      <c r="Z85" s="4">
        <f t="shared" si="54"/>
        <v>81</v>
      </c>
      <c r="AA85" s="21">
        <f t="shared" si="48"/>
        <v>29.97</v>
      </c>
      <c r="AB85" s="6">
        <f>AA85+B16</f>
        <v>136.3053745</v>
      </c>
      <c r="AC85" s="24">
        <f t="shared" si="33"/>
        <v>133.12069960032883</v>
      </c>
      <c r="AD85" s="4">
        <f t="shared" si="34"/>
        <v>6.00295639000026</v>
      </c>
      <c r="AE85" s="4">
        <f t="shared" si="35"/>
        <v>3.1846748996711653</v>
      </c>
      <c r="AF85" s="6">
        <f t="shared" si="55"/>
        <v>799.117754307099</v>
      </c>
      <c r="AG85" s="30">
        <f>0.036*(SQRT(AF85)-SQRT(B12))</f>
        <v>0.03691163107911533</v>
      </c>
      <c r="AH85" s="27">
        <v>0</v>
      </c>
      <c r="AI85" s="47">
        <f>AH85+B17</f>
        <v>1.975</v>
      </c>
      <c r="AJ85" s="4">
        <f t="shared" si="36"/>
        <v>2.0910029421814773</v>
      </c>
      <c r="AK85" s="4">
        <f>120*(AI85/AI254)^-0.055</f>
        <v>123.69960739219069</v>
      </c>
      <c r="AL85" s="4">
        <f t="shared" si="37"/>
        <v>-0.11600294218147722</v>
      </c>
      <c r="AM85" s="5">
        <f t="shared" si="56"/>
        <v>258.65624300376436</v>
      </c>
      <c r="AN85" s="26">
        <f>0.12*(SQRT(AM85)-SQRT(B13))</f>
        <v>-0.04915549432343553</v>
      </c>
      <c r="AO85" s="4">
        <f t="shared" si="38"/>
        <v>1.4554111176826758</v>
      </c>
      <c r="AP85" s="21">
        <v>0</v>
      </c>
      <c r="AQ85" s="21">
        <f>0.54*(Z85-Z54)+AQ54</f>
        <v>39.74</v>
      </c>
      <c r="AR85" s="21">
        <f t="shared" si="49"/>
        <v>5.670000000000001</v>
      </c>
      <c r="AS85" s="35">
        <f t="shared" si="39"/>
        <v>0.16658458516636945</v>
      </c>
      <c r="AT85" s="36">
        <f>-0.32*LN(AF85/AF254)+0.0042*(AI85-AI254)-0.000105*(AQ85-AQ254)-0.000315*(AR85-AR254)</f>
        <v>0.37528841582064737</v>
      </c>
      <c r="AU85" s="4">
        <f>AU254+5*LN(AF85/AF254)+0.125*(AP85-AP254)+0.0011*(AQ85-AQ254)+0.0033*(AR85-AR254)</f>
        <v>24.954096471552383</v>
      </c>
      <c r="AV85" s="4">
        <f>0.042*(AU85-B14)</f>
        <v>-0.0019279481947999245</v>
      </c>
      <c r="AW85" s="4">
        <f>0.05*0.036*(SQRT(AF85)-SQRT(B12))</f>
        <v>0.001845581553955767</v>
      </c>
      <c r="AX85" s="21">
        <v>0</v>
      </c>
      <c r="AY85" s="36">
        <f>-0.4*(AX85/AX254)</f>
        <v>0</v>
      </c>
      <c r="AZ85" s="36">
        <f>-0.8*LN((B15+AX85)/B15)*(LN((B15+AX254)/B15))^-1</f>
        <v>0</v>
      </c>
      <c r="BA85" s="36">
        <f>-0.1*(AQ85/AQ254)</f>
        <v>-0.004567816091954023</v>
      </c>
      <c r="BB85" s="6">
        <f t="shared" si="50"/>
        <v>0.005112233773971752</v>
      </c>
      <c r="BC85" s="6">
        <f t="shared" si="57"/>
        <v>0.0032308655576463417</v>
      </c>
      <c r="BD85" s="4">
        <f t="shared" si="51"/>
        <v>0.8426429666281029</v>
      </c>
      <c r="BE85" s="4">
        <f>SUMPRODUCT(BC$4:BC85,$BD$273:BD$354)</f>
        <v>-0.017154181898467204</v>
      </c>
      <c r="BF85" s="23">
        <f>BE85*B7</f>
        <v>-0.017154181898467204</v>
      </c>
      <c r="BG85" s="48"/>
    </row>
    <row r="86" spans="5:59" ht="15">
      <c r="E86" s="1">
        <f t="shared" si="52"/>
        <v>82</v>
      </c>
      <c r="F86" s="1">
        <f t="shared" si="40"/>
        <v>1832</v>
      </c>
      <c r="G86" s="3">
        <v>0</v>
      </c>
      <c r="H86" s="3">
        <f t="shared" si="31"/>
        <v>0.07200000000000002</v>
      </c>
      <c r="I86" s="5">
        <f t="shared" si="41"/>
        <v>0.01549174237834508</v>
      </c>
      <c r="J86" s="5">
        <f t="shared" si="53"/>
        <v>0.017294962741756098</v>
      </c>
      <c r="K86" s="4">
        <f t="shared" si="42"/>
        <v>0.039213294879898844</v>
      </c>
      <c r="L86" s="4">
        <f t="shared" si="43"/>
        <v>0.00020106806106970942</v>
      </c>
      <c r="M86" s="4">
        <f>60*B8*LN(U86/U4)</f>
        <v>0.07320454658496658</v>
      </c>
      <c r="N86" s="4">
        <f t="shared" si="44"/>
        <v>1.471909624332645E-05</v>
      </c>
      <c r="O86" s="4">
        <f>SUMPRODUCT($M$4:M86,L$272:$L$354)</f>
        <v>0.04031557751573998</v>
      </c>
      <c r="P86" s="4">
        <f t="shared" si="45"/>
        <v>0.03288896906922661</v>
      </c>
      <c r="Q86" s="4">
        <f>(B5/(B4*B6))*W85</f>
        <v>0.9488671726569466</v>
      </c>
      <c r="R86" s="4">
        <f>(1.558-1.399*B3*0.01)*Q86+(7.4706-0.20207*B3)*0.001*Q86^2-(1.2748-0.12015*B3)*0.00001*Q86^3+(2.4491-0.12639*B3)*0.0000001*Q86^4-(1.5468-0.15326*B3)*0.0000000001*Q86^5</f>
        <v>1.2401591529078526</v>
      </c>
      <c r="S86" s="4">
        <f t="shared" si="58"/>
        <v>0.034917150520818105</v>
      </c>
      <c r="T86" s="5">
        <f>(T4+R86)*EXP(0.0423*BF85)</f>
        <v>281.0361591582508</v>
      </c>
      <c r="U86" s="4">
        <f t="shared" si="46"/>
        <v>281.19285152069114</v>
      </c>
      <c r="V86" s="4">
        <f t="shared" si="32"/>
        <v>0.0006038908173058386</v>
      </c>
      <c r="W86" s="4">
        <f>SUMPRODUCT($J$4:J86,$S$272:S$354)</f>
        <v>0.15108220620337598</v>
      </c>
      <c r="X86" s="6">
        <f>5.35*LN(U86/U4)</f>
        <v>0.022743572835631314</v>
      </c>
      <c r="Y86" s="4">
        <f t="shared" si="47"/>
        <v>1832</v>
      </c>
      <c r="Z86" s="4">
        <f t="shared" si="54"/>
        <v>82</v>
      </c>
      <c r="AA86" s="21">
        <f t="shared" si="48"/>
        <v>30.34</v>
      </c>
      <c r="AB86" s="6">
        <f>AA86+B16</f>
        <v>136.6753745</v>
      </c>
      <c r="AC86" s="24">
        <f t="shared" si="33"/>
        <v>133.4865989744686</v>
      </c>
      <c r="AD86" s="4">
        <f t="shared" si="34"/>
        <v>6.0103593571982685</v>
      </c>
      <c r="AE86" s="4">
        <f t="shared" si="35"/>
        <v>3.188775525531412</v>
      </c>
      <c r="AF86" s="6">
        <f t="shared" si="55"/>
        <v>802.3024292067701</v>
      </c>
      <c r="AG86" s="30">
        <f>0.036*(SQRT(AF86)-SQRT(B12))</f>
        <v>0.03893744790372733</v>
      </c>
      <c r="AH86" s="27">
        <v>0</v>
      </c>
      <c r="AI86" s="47">
        <f>AH86+B17</f>
        <v>1.975</v>
      </c>
      <c r="AJ86" s="4">
        <f t="shared" si="36"/>
        <v>2.090065162792949</v>
      </c>
      <c r="AK86" s="4">
        <f>120*(AI86/AI254)^-0.055</f>
        <v>123.69960739219069</v>
      </c>
      <c r="AL86" s="4">
        <f t="shared" si="37"/>
        <v>-0.11506516279294887</v>
      </c>
      <c r="AM86" s="5">
        <f t="shared" si="56"/>
        <v>258.5402400615829</v>
      </c>
      <c r="AN86" s="26">
        <f>0.12*(SQRT(AM86)-SQRT(B13))</f>
        <v>-0.04958831447603103</v>
      </c>
      <c r="AO86" s="4">
        <f t="shared" si="38"/>
        <v>1.4534454698732167</v>
      </c>
      <c r="AP86" s="21">
        <v>0</v>
      </c>
      <c r="AQ86" s="21">
        <f>0.54*(Z86-Z54)+AQ54</f>
        <v>40.28</v>
      </c>
      <c r="AR86" s="21">
        <f t="shared" si="49"/>
        <v>5.74</v>
      </c>
      <c r="AS86" s="35">
        <f t="shared" si="39"/>
        <v>0.16637940272279333</v>
      </c>
      <c r="AT86" s="36">
        <f>-0.32*LN(AF86/AF254)+0.0042*(AI86-AI254)-0.000105*(AQ86-AQ254)-0.000315*(AR86-AR254)</f>
        <v>0.37393692388593935</v>
      </c>
      <c r="AU86" s="4">
        <f>AU254+5*LN(AF86/AF254)+0.125*(AP86-AP254)+0.0011*(AQ86-AQ254)+0.0033*(AR86-AR254)</f>
        <v>24.9748080642822</v>
      </c>
      <c r="AV86" s="4">
        <f>0.042*(AU86-B14)</f>
        <v>-0.0010580613001475855</v>
      </c>
      <c r="AW86" s="4">
        <f>0.05*0.036*(SQRT(AF86)-SQRT(B12))</f>
        <v>0.0019468723951863666</v>
      </c>
      <c r="AX86" s="21">
        <v>0</v>
      </c>
      <c r="AY86" s="36">
        <f>-0.4*(AX86/AX254)</f>
        <v>0</v>
      </c>
      <c r="AZ86" s="36">
        <f>-0.8*LN((B15+AX86)/B15)*(LN((B15+AX254)/B15))^-1</f>
        <v>0</v>
      </c>
      <c r="BA86" s="36">
        <f>-0.1*(AQ86/AQ254)</f>
        <v>-0.004629885057471265</v>
      </c>
      <c r="BB86" s="6">
        <f t="shared" si="50"/>
        <v>0.00835163230089513</v>
      </c>
      <c r="BC86" s="6">
        <f t="shared" si="57"/>
        <v>0.0032393985269233774</v>
      </c>
      <c r="BD86" s="4">
        <f t="shared" si="51"/>
        <v>0.8422849299201802</v>
      </c>
      <c r="BE86" s="4">
        <f>SUMPRODUCT(BC$4:BC86,$BD$272:BD$354)</f>
        <v>-0.015018348677476498</v>
      </c>
      <c r="BF86" s="23">
        <f>BE86*B7</f>
        <v>-0.015018348677476498</v>
      </c>
      <c r="BG86" s="48"/>
    </row>
    <row r="87" spans="5:59" ht="15">
      <c r="E87" s="1">
        <f t="shared" si="52"/>
        <v>83</v>
      </c>
      <c r="F87" s="1">
        <f t="shared" si="40"/>
        <v>1833</v>
      </c>
      <c r="G87" s="3">
        <v>0</v>
      </c>
      <c r="H87" s="3">
        <f t="shared" si="31"/>
        <v>0.07300000000000002</v>
      </c>
      <c r="I87" s="5">
        <f t="shared" si="41"/>
        <v>0.01586294855736769</v>
      </c>
      <c r="J87" s="5">
        <f t="shared" si="53"/>
        <v>0.017464760946385594</v>
      </c>
      <c r="K87" s="4">
        <f t="shared" si="42"/>
        <v>0.03967229049624674</v>
      </c>
      <c r="L87" s="4">
        <f t="shared" si="43"/>
        <v>0.00020308966645881624</v>
      </c>
      <c r="M87" s="4">
        <f>60*B8*LN(U87/U4)</f>
        <v>0.07560576644316466</v>
      </c>
      <c r="N87" s="4">
        <f t="shared" si="44"/>
        <v>1.5354749889305473E-05</v>
      </c>
      <c r="O87" s="4">
        <f>SUMPRODUCT($M$4:M87,L$271:$L$354)</f>
        <v>0.04192872665587306</v>
      </c>
      <c r="P87" s="4">
        <f t="shared" si="45"/>
        <v>0.033677039787291606</v>
      </c>
      <c r="Q87" s="4">
        <f>(B5/(B4*B6))*W86</f>
        <v>0.958245153157324</v>
      </c>
      <c r="R87" s="4">
        <f>(1.558-1.399*B3*0.01)*Q87+(7.4706-0.20207*B3)*0.001*Q87^2-(1.2748-0.12015*B3)*0.00001*Q87^3+(2.4491-0.12639*B3)*0.0000001*Q87^4-(1.5468-0.15326*B3)*0.0000000001*Q87^5</f>
        <v>1.2524503136217615</v>
      </c>
      <c r="S87" s="4">
        <f t="shared" si="58"/>
        <v>0.03497676483242273</v>
      </c>
      <c r="T87" s="5">
        <f>(T4+R87)*EXP(0.0423*BF86)</f>
        <v>281.0738340813968</v>
      </c>
      <c r="U87" s="4">
        <f t="shared" si="46"/>
        <v>281.23206481557105</v>
      </c>
      <c r="V87" s="4">
        <f t="shared" si="32"/>
        <v>0.0006108608364762095</v>
      </c>
      <c r="W87" s="4">
        <f>SUMPRODUCT($J$4:J87,$S$271:S$354)</f>
        <v>0.1525890689615983</v>
      </c>
      <c r="X87" s="6">
        <f>5.35*LN(U87/U4)</f>
        <v>0.023489596426883332</v>
      </c>
      <c r="Y87" s="4">
        <f t="shared" si="47"/>
        <v>1833</v>
      </c>
      <c r="Z87" s="4">
        <f t="shared" si="54"/>
        <v>83</v>
      </c>
      <c r="AA87" s="21">
        <f t="shared" si="48"/>
        <v>30.71</v>
      </c>
      <c r="AB87" s="6">
        <f>AA87+B16</f>
        <v>137.0453745</v>
      </c>
      <c r="AC87" s="24">
        <f t="shared" si="33"/>
        <v>133.85251262746627</v>
      </c>
      <c r="AD87" s="4">
        <f t="shared" si="34"/>
        <v>6.017751844331207</v>
      </c>
      <c r="AE87" s="4">
        <f t="shared" si="35"/>
        <v>3.19286187253374</v>
      </c>
      <c r="AF87" s="6">
        <f t="shared" si="55"/>
        <v>805.4912047323014</v>
      </c>
      <c r="AG87" s="30">
        <f>0.036*(SQRT(AF87)-SQRT(B12))</f>
        <v>0.0409618487592958</v>
      </c>
      <c r="AH87" s="27">
        <v>0</v>
      </c>
      <c r="AI87" s="47">
        <f>AH87+B17</f>
        <v>1.975</v>
      </c>
      <c r="AJ87" s="4">
        <f t="shared" si="36"/>
        <v>2.0891349645068042</v>
      </c>
      <c r="AK87" s="4">
        <f>120*(AI87/AI254)^-0.055</f>
        <v>123.69960739219069</v>
      </c>
      <c r="AL87" s="4">
        <f t="shared" si="37"/>
        <v>-0.11413496450680416</v>
      </c>
      <c r="AM87" s="5">
        <f t="shared" si="56"/>
        <v>258.4251748987899</v>
      </c>
      <c r="AN87" s="26">
        <f>0.12*(SQRT(AM87)-SQRT(B13))</f>
        <v>-0.05001773160333414</v>
      </c>
      <c r="AO87" s="4">
        <f t="shared" si="38"/>
        <v>1.4514874307161447</v>
      </c>
      <c r="AP87" s="21">
        <v>0</v>
      </c>
      <c r="AQ87" s="21">
        <f>0.54*(Z87-Z54)+AQ54</f>
        <v>40.82</v>
      </c>
      <c r="AR87" s="21">
        <f t="shared" si="49"/>
        <v>5.8100000000000005</v>
      </c>
      <c r="AS87" s="35">
        <f t="shared" si="39"/>
        <v>0.16617501450180464</v>
      </c>
      <c r="AT87" s="36">
        <f>-0.32*LN(AF87/AF254)+0.0042*(AI87-AI254)-0.000105*(AQ87-AQ254)-0.000315*(AR87-AR254)</f>
        <v>0.3725888449315468</v>
      </c>
      <c r="AU87" s="4">
        <f>AU254+5*LN(AF87/AF254)+0.125*(AP87-AP254)+0.0011*(AQ87-AQ254)+0.0033*(AR87-AR254)</f>
        <v>24.99546632919458</v>
      </c>
      <c r="AV87" s="4">
        <f>0.042*(AU87-B14)</f>
        <v>-0.00019041417382758397</v>
      </c>
      <c r="AW87" s="4">
        <f>0.05*0.036*(SQRT(AF87)-SQRT(B12))</f>
        <v>0.0020480924379647904</v>
      </c>
      <c r="AX87" s="21">
        <v>0</v>
      </c>
      <c r="AY87" s="36">
        <f>-0.4*(AX87/AX254)</f>
        <v>0</v>
      </c>
      <c r="AZ87" s="36">
        <f>-0.8*LN((B15+AX87)/B15)*(LN((B15+AX254)/B15))^-1</f>
        <v>0</v>
      </c>
      <c r="BA87" s="36">
        <f>-0.1*(AQ87/AQ254)</f>
        <v>-0.004691954022988506</v>
      </c>
      <c r="BB87" s="6">
        <f t="shared" si="50"/>
        <v>0.011599437823993693</v>
      </c>
      <c r="BC87" s="6">
        <f t="shared" si="57"/>
        <v>0.003247805523098564</v>
      </c>
      <c r="BD87" s="4">
        <f t="shared" si="51"/>
        <v>0.8419260785396661</v>
      </c>
      <c r="BE87" s="4">
        <f>SUMPRODUCT(BC$4:BC87,$BD$271:BD$354)</f>
        <v>-0.012867772358405645</v>
      </c>
      <c r="BF87" s="23">
        <f>BE87*B7</f>
        <v>-0.012867772358405645</v>
      </c>
      <c r="BG87" s="48"/>
    </row>
    <row r="88" spans="5:59" ht="15">
      <c r="E88" s="1">
        <f t="shared" si="52"/>
        <v>84</v>
      </c>
      <c r="F88" s="1">
        <f t="shared" si="40"/>
        <v>1834</v>
      </c>
      <c r="G88" s="3">
        <v>0</v>
      </c>
      <c r="H88" s="3">
        <f t="shared" si="31"/>
        <v>0.07400000000000002</v>
      </c>
      <c r="I88" s="5">
        <f t="shared" si="41"/>
        <v>0.016234444552865396</v>
      </c>
      <c r="J88" s="5">
        <f t="shared" si="53"/>
        <v>0.017639364161331432</v>
      </c>
      <c r="K88" s="4">
        <f t="shared" si="42"/>
        <v>0.0401261912858032</v>
      </c>
      <c r="L88" s="4">
        <f t="shared" si="43"/>
        <v>0.00020513163227376427</v>
      </c>
      <c r="M88" s="4">
        <f>60*B8*LN(U88/U4)</f>
        <v>0.07803475213586276</v>
      </c>
      <c r="N88" s="4">
        <f t="shared" si="44"/>
        <v>1.6007396079708143E-05</v>
      </c>
      <c r="O88" s="4">
        <f>SUMPRODUCT($M$4:M88,L$270:$L$354)</f>
        <v>0.043569026350129526</v>
      </c>
      <c r="P88" s="4">
        <f t="shared" si="45"/>
        <v>0.03446572578573324</v>
      </c>
      <c r="Q88" s="4">
        <f>(B5/(B4*B6))*W87</f>
        <v>0.9678024926404135</v>
      </c>
      <c r="R88" s="4">
        <f>(1.558-1.399*B3*0.01)*Q88+(7.4706-0.20207*B3)*0.001*Q88^2-(1.2748-0.12015*B3)*0.00001*Q88^3+(2.4491-0.12639*B3)*0.0000001*Q88^4-(1.5468-0.15326*B3)*0.0000000001*Q88^5</f>
        <v>1.2649772406462625</v>
      </c>
      <c r="S88" s="4">
        <f t="shared" si="58"/>
        <v>0.035036752593089325</v>
      </c>
      <c r="T88" s="5">
        <f>(T4+R88)*EXP(0.0423*BF87)</f>
        <v>281.11192446676563</v>
      </c>
      <c r="U88" s="4">
        <f t="shared" si="46"/>
        <v>281.2717371060673</v>
      </c>
      <c r="V88" s="4">
        <f t="shared" si="32"/>
        <v>0.000618026038019976</v>
      </c>
      <c r="W88" s="4">
        <f>SUMPRODUCT($J$4:J88,$S$270:S$354)</f>
        <v>0.15412435860155085</v>
      </c>
      <c r="X88" s="6">
        <f>5.35*LN(U88/U4)</f>
        <v>0.02424424645336038</v>
      </c>
      <c r="Y88" s="4">
        <f t="shared" si="47"/>
        <v>1834</v>
      </c>
      <c r="Z88" s="4">
        <f t="shared" si="54"/>
        <v>84</v>
      </c>
      <c r="AA88" s="21">
        <f t="shared" si="48"/>
        <v>31.08</v>
      </c>
      <c r="AB88" s="6">
        <f>AA88+B16</f>
        <v>137.41537449999998</v>
      </c>
      <c r="AC88" s="24">
        <f t="shared" si="33"/>
        <v>134.21843946066093</v>
      </c>
      <c r="AD88" s="4">
        <f t="shared" si="34"/>
        <v>6.025133877687933</v>
      </c>
      <c r="AE88" s="4">
        <f t="shared" si="35"/>
        <v>3.1969350393390528</v>
      </c>
      <c r="AF88" s="6">
        <f t="shared" si="55"/>
        <v>808.6840666048352</v>
      </c>
      <c r="AG88" s="30">
        <f>0.036*(SQRT(AF88)-SQRT(B12))</f>
        <v>0.042984833007739164</v>
      </c>
      <c r="AH88" s="27">
        <v>0</v>
      </c>
      <c r="AI88" s="47">
        <f>AH88+B17</f>
        <v>1.975</v>
      </c>
      <c r="AJ88" s="4">
        <f t="shared" si="36"/>
        <v>2.088212286036654</v>
      </c>
      <c r="AK88" s="4">
        <f>120*(AI88/AI254)^-0.055</f>
        <v>123.69960739219069</v>
      </c>
      <c r="AL88" s="4">
        <f t="shared" si="37"/>
        <v>-0.11321228603665379</v>
      </c>
      <c r="AM88" s="5">
        <f t="shared" si="56"/>
        <v>258.3110399342831</v>
      </c>
      <c r="AN88" s="26">
        <f>0.12*(SQRT(AM88)-SQRT(B13))</f>
        <v>-0.05044377173394835</v>
      </c>
      <c r="AO88" s="4">
        <f t="shared" si="38"/>
        <v>1.4495369550504438</v>
      </c>
      <c r="AP88" s="21">
        <v>0</v>
      </c>
      <c r="AQ88" s="21">
        <f>0.54*(Z88-Z54)+AQ54</f>
        <v>41.36</v>
      </c>
      <c r="AR88" s="21">
        <f t="shared" si="49"/>
        <v>5.880000000000001</v>
      </c>
      <c r="AS88" s="35">
        <f t="shared" si="39"/>
        <v>0.16597141578930974</v>
      </c>
      <c r="AT88" s="36">
        <f>-0.32*LN(AF88/AF254)+0.0042*(AI88-AI254)-0.000105*(AQ88-AQ254)-0.000315*(AR88-AR254)</f>
        <v>0.3712441640876563</v>
      </c>
      <c r="AU88" s="4">
        <f>AU254+5*LN(AF88/AF254)+0.125*(AP88-AP254)+0.0011*(AQ88-AQ254)+0.0033*(AR88-AR254)</f>
        <v>25.01607149863037</v>
      </c>
      <c r="AV88" s="4">
        <f>0.042*(AU88-B14)</f>
        <v>0.0006750029424755795</v>
      </c>
      <c r="AW88" s="4">
        <f>0.05*0.036*(SQRT(AF88)-SQRT(B12))</f>
        <v>0.0021492416503869584</v>
      </c>
      <c r="AX88" s="21">
        <v>0</v>
      </c>
      <c r="AY88" s="36">
        <f>-0.4*(AX88/AX254)</f>
        <v>0</v>
      </c>
      <c r="AZ88" s="36">
        <f>-0.8*LN((B15+AX88)/B15)*(LN((B15+AX254)/B15))^-1</f>
        <v>0</v>
      </c>
      <c r="BA88" s="36">
        <f>-0.1*(AQ88/AQ254)</f>
        <v>-0.004754022988505747</v>
      </c>
      <c r="BB88" s="6">
        <f t="shared" si="50"/>
        <v>0.01485552933150798</v>
      </c>
      <c r="BC88" s="6">
        <f t="shared" si="57"/>
        <v>0.0032560915075142867</v>
      </c>
      <c r="BD88" s="4">
        <f t="shared" si="51"/>
        <v>0.8415664106309542</v>
      </c>
      <c r="BE88" s="4">
        <f>SUMPRODUCT(BC$4:BC88,$BD$270:BD$354)</f>
        <v>-0.010702901442152513</v>
      </c>
      <c r="BF88" s="23">
        <f aca="true" t="shared" si="59" ref="BF88:BF132">BE88*$B$7</f>
        <v>-0.010702901442152513</v>
      </c>
      <c r="BG88" s="48"/>
    </row>
    <row r="89" spans="5:59" ht="15">
      <c r="E89" s="1">
        <f t="shared" si="52"/>
        <v>85</v>
      </c>
      <c r="F89" s="1">
        <f t="shared" si="40"/>
        <v>1835</v>
      </c>
      <c r="G89" s="3">
        <v>0</v>
      </c>
      <c r="H89" s="3">
        <f t="shared" si="31"/>
        <v>0.07500000000000002</v>
      </c>
      <c r="I89" s="5">
        <f t="shared" si="41"/>
        <v>0.016606182576856948</v>
      </c>
      <c r="J89" s="5">
        <f t="shared" si="53"/>
        <v>0.01781864351529764</v>
      </c>
      <c r="K89" s="4">
        <f t="shared" si="42"/>
        <v>0.04057517390784544</v>
      </c>
      <c r="L89" s="4">
        <f t="shared" si="43"/>
        <v>0.00020719416534252898</v>
      </c>
      <c r="M89" s="4">
        <f aca="true" t="shared" si="60" ref="M89:M131">60*$B$8*LN(U89/$U$4)</f>
        <v>0.08049117999696144</v>
      </c>
      <c r="N89" s="4">
        <f t="shared" si="44"/>
        <v>1.667730285690569E-05</v>
      </c>
      <c r="O89" s="4">
        <f>SUMPRODUCT($M$4:M89,L$269:$L$354)</f>
        <v>0.04523625438629413</v>
      </c>
      <c r="P89" s="4">
        <f t="shared" si="45"/>
        <v>0.03525492561066731</v>
      </c>
      <c r="Q89" s="4">
        <f aca="true" t="shared" si="61" ref="Q89:Q133">($B$5/($B$4*$B$6))*W88</f>
        <v>0.9775401307987867</v>
      </c>
      <c r="R89" s="4">
        <f aca="true" t="shared" si="62" ref="R89:R133">(1.558-1.399*$B$3*0.01)*Q89+(7.4706-0.20207*$B$3)*0.001*Q89^2-(1.2748-0.12015*$B$3)*0.00001*Q89^3+(2.4491-0.12639*$B$3)*0.0000001*Q89^4-(1.5468-0.15326*$B$3)*0.0000000001*Q89^5</f>
        <v>1.2777412050834391</v>
      </c>
      <c r="S89" s="4">
        <f t="shared" si="58"/>
        <v>0.03509711712343726</v>
      </c>
      <c r="T89" s="5">
        <f aca="true" t="shared" si="63" ref="T89:T133">($T$4+R89)*EXP(0.0423*BF88)</f>
        <v>281.1504263871045</v>
      </c>
      <c r="U89" s="4">
        <f t="shared" si="46"/>
        <v>281.3118632973531</v>
      </c>
      <c r="V89" s="4">
        <f t="shared" si="32"/>
        <v>0.000625383018437177</v>
      </c>
      <c r="W89" s="4">
        <f>SUMPRODUCT($J$4:J89,$S$269:S$354)</f>
        <v>0.15568820487003024</v>
      </c>
      <c r="X89" s="6">
        <f aca="true" t="shared" si="64" ref="X89:X132">5.35*LN(U89/$U$4)</f>
        <v>0.02500742235677954</v>
      </c>
      <c r="Y89" s="4">
        <f t="shared" si="47"/>
        <v>1835</v>
      </c>
      <c r="Z89" s="4">
        <f t="shared" si="54"/>
        <v>85</v>
      </c>
      <c r="AA89" s="21">
        <f t="shared" si="48"/>
        <v>31.45</v>
      </c>
      <c r="AB89" s="6">
        <f aca="true" t="shared" si="65" ref="AB89:AB132">AA89+$B$16</f>
        <v>137.7853745</v>
      </c>
      <c r="AC89" s="24">
        <f t="shared" si="33"/>
        <v>134.5843785067981</v>
      </c>
      <c r="AD89" s="4">
        <f t="shared" si="34"/>
        <v>6.032505485792058</v>
      </c>
      <c r="AE89" s="4">
        <f t="shared" si="35"/>
        <v>3.2009959932019</v>
      </c>
      <c r="AF89" s="6">
        <f t="shared" si="55"/>
        <v>811.8810016441741</v>
      </c>
      <c r="AG89" s="30">
        <f aca="true" t="shared" si="66" ref="AG89:AG135">0.036*(SQRT(AF89)-SQRT($B$12))</f>
        <v>0.04500640070419079</v>
      </c>
      <c r="AH89" s="27">
        <v>0</v>
      </c>
      <c r="AI89" s="47">
        <f aca="true" t="shared" si="67" ref="AI89:AI132">AH89+$B$17</f>
        <v>1.975</v>
      </c>
      <c r="AJ89" s="4">
        <f t="shared" si="36"/>
        <v>2.0872970665915536</v>
      </c>
      <c r="AK89" s="4">
        <f aca="true" t="shared" si="68" ref="AK89:AK131">120*(AI89/$AI$254)^-0.055</f>
        <v>123.69960739219069</v>
      </c>
      <c r="AL89" s="4">
        <f t="shared" si="37"/>
        <v>-0.11229706659155347</v>
      </c>
      <c r="AM89" s="5">
        <f t="shared" si="56"/>
        <v>258.19782764824646</v>
      </c>
      <c r="AN89" s="26">
        <f aca="true" t="shared" si="69" ref="AN89:AN132">0.12*(SQRT(AM89)-SQRT($B$13))</f>
        <v>-0.050866460708469674</v>
      </c>
      <c r="AO89" s="4">
        <f t="shared" si="38"/>
        <v>1.447593997460714</v>
      </c>
      <c r="AP89" s="21">
        <v>0</v>
      </c>
      <c r="AQ89" s="21">
        <f aca="true" t="shared" si="70" ref="AQ89:AQ104">0.54*(Z89-$Z$54)+$AQ$54</f>
        <v>41.900000000000006</v>
      </c>
      <c r="AR89" s="21">
        <f t="shared" si="49"/>
        <v>5.95</v>
      </c>
      <c r="AS89" s="35">
        <f t="shared" si="39"/>
        <v>0.16576860184466152</v>
      </c>
      <c r="AT89" s="36">
        <f aca="true" t="shared" si="71" ref="AT89:AT131">-0.32*LN(AF89/$AF$254)+0.0042*(AI89-$AI$254)-0.000105*(AQ89-$AQ$254)-0.000315*(AR89-$AR$254)</f>
        <v>0.3699028661533394</v>
      </c>
      <c r="AU89" s="4">
        <f aca="true" t="shared" si="72" ref="AU89:AU131">$AU$254+5*LN(AF89/$AF$254)+0.125*(AP89-$AP$254)+0.0011*(AQ89-$AQ$254)+0.0033*(AR89-$AR$254)</f>
        <v>25.03662381010407</v>
      </c>
      <c r="AV89" s="4">
        <f aca="true" t="shared" si="73" ref="AV89:AV131">0.042*(AU89-$B$14)</f>
        <v>0.001538200024371001</v>
      </c>
      <c r="AW89" s="4">
        <f aca="true" t="shared" si="74" ref="AW89:AW131">0.05*0.036*(SQRT(AF89)-SQRT($B$12))</f>
        <v>0.00225032003520954</v>
      </c>
      <c r="AX89" s="21">
        <v>0</v>
      </c>
      <c r="AY89" s="36">
        <f aca="true" t="shared" si="75" ref="AY89:AY131">-0.4*(AX89/$AX$254)</f>
        <v>0</v>
      </c>
      <c r="AZ89" s="36">
        <f aca="true" t="shared" si="76" ref="AZ89:AZ131">-0.8*LN(($B$15+AX89)/$B$15)*(LN(($B$15+$AX$254)/$B$15))^-1</f>
        <v>0</v>
      </c>
      <c r="BA89" s="36">
        <f aca="true" t="shared" si="77" ref="BA89:BA131">-0.1*(AQ89/$AQ$254)</f>
        <v>-0.00481609195402299</v>
      </c>
      <c r="BB89" s="6">
        <f t="shared" si="50"/>
        <v>0.01811979045805821</v>
      </c>
      <c r="BC89" s="6">
        <f t="shared" si="57"/>
        <v>0.0032642611265502296</v>
      </c>
      <c r="BD89" s="4">
        <f t="shared" si="51"/>
        <v>0.8412059243340749</v>
      </c>
      <c r="BE89" s="4">
        <f>SUMPRODUCT(BC$4:BC89,$BD$269:BD$354)</f>
        <v>-0.008524160131153318</v>
      </c>
      <c r="BF89" s="23">
        <f t="shared" si="59"/>
        <v>-0.008524160131153318</v>
      </c>
      <c r="BG89" s="48"/>
    </row>
    <row r="90" spans="5:59" ht="15">
      <c r="E90" s="1">
        <f t="shared" si="52"/>
        <v>86</v>
      </c>
      <c r="F90" s="1">
        <f t="shared" si="40"/>
        <v>1836</v>
      </c>
      <c r="G90" s="3">
        <v>0</v>
      </c>
      <c r="H90" s="3">
        <f t="shared" si="31"/>
        <v>0.07600000000000003</v>
      </c>
      <c r="I90" s="5">
        <f t="shared" si="41"/>
        <v>0.0169781178381725</v>
      </c>
      <c r="J90" s="5">
        <f t="shared" si="53"/>
        <v>0.018002474649201267</v>
      </c>
      <c r="K90" s="4">
        <f t="shared" si="42"/>
        <v>0.041019407512626255</v>
      </c>
      <c r="L90" s="4">
        <f t="shared" si="43"/>
        <v>0.0002092774746846552</v>
      </c>
      <c r="M90" s="4">
        <f t="shared" si="60"/>
        <v>0.08297473722178486</v>
      </c>
      <c r="N90" s="4">
        <f t="shared" si="44"/>
        <v>1.7364743468398E-05</v>
      </c>
      <c r="O90" s="4">
        <f>SUMPRODUCT($M$4:M90,L$268:$L$354)</f>
        <v>0.04693019305134464</v>
      </c>
      <c r="P90" s="4">
        <f t="shared" si="45"/>
        <v>0.03604454417044022</v>
      </c>
      <c r="Q90" s="4">
        <f t="shared" si="61"/>
        <v>0.987458890556877</v>
      </c>
      <c r="R90" s="4">
        <f t="shared" si="62"/>
        <v>1.2907433259916288</v>
      </c>
      <c r="S90" s="4">
        <f t="shared" si="58"/>
        <v>0.03515786178377546</v>
      </c>
      <c r="T90" s="5">
        <f t="shared" si="63"/>
        <v>281.1893360509392</v>
      </c>
      <c r="U90" s="4">
        <f t="shared" si="46"/>
        <v>281.35243847126094</v>
      </c>
      <c r="V90" s="4">
        <f t="shared" si="32"/>
        <v>0.0006329285154825397</v>
      </c>
      <c r="W90" s="4">
        <f>SUMPRODUCT($J$4:J90,$S$268:S$354)</f>
        <v>0.15728072079473882</v>
      </c>
      <c r="X90" s="6">
        <f t="shared" si="64"/>
        <v>0.025779026953341985</v>
      </c>
      <c r="Y90" s="4">
        <f t="shared" si="47"/>
        <v>1836</v>
      </c>
      <c r="Z90" s="4">
        <f t="shared" si="54"/>
        <v>86</v>
      </c>
      <c r="AA90" s="21">
        <f t="shared" si="48"/>
        <v>31.82</v>
      </c>
      <c r="AB90" s="6">
        <f t="shared" si="65"/>
        <v>138.1553745</v>
      </c>
      <c r="AC90" s="24">
        <f t="shared" si="33"/>
        <v>134.9503289138501</v>
      </c>
      <c r="AD90" s="4">
        <f t="shared" si="34"/>
        <v>6.039866699085336</v>
      </c>
      <c r="AE90" s="4">
        <f t="shared" si="35"/>
        <v>3.2050455861499074</v>
      </c>
      <c r="AF90" s="6">
        <f t="shared" si="55"/>
        <v>815.081997637376</v>
      </c>
      <c r="AG90" s="30">
        <f t="shared" si="66"/>
        <v>0.047026552507328526</v>
      </c>
      <c r="AH90" s="27">
        <v>0</v>
      </c>
      <c r="AI90" s="47">
        <f t="shared" si="67"/>
        <v>1.975</v>
      </c>
      <c r="AJ90" s="4">
        <f t="shared" si="36"/>
        <v>2.0863892458719975</v>
      </c>
      <c r="AK90" s="4">
        <f t="shared" si="68"/>
        <v>123.69960739219069</v>
      </c>
      <c r="AL90" s="4">
        <f t="shared" si="37"/>
        <v>-0.11138924587199739</v>
      </c>
      <c r="AM90" s="5">
        <f t="shared" si="56"/>
        <v>258.0855305816549</v>
      </c>
      <c r="AN90" s="26">
        <f t="shared" si="69"/>
        <v>-0.05128582418068333</v>
      </c>
      <c r="AO90" s="4">
        <f t="shared" si="38"/>
        <v>1.4456585123643408</v>
      </c>
      <c r="AP90" s="21">
        <v>0</v>
      </c>
      <c r="AQ90" s="21">
        <f t="shared" si="70"/>
        <v>42.44</v>
      </c>
      <c r="AR90" s="21">
        <f t="shared" si="49"/>
        <v>6.0200000000000005</v>
      </c>
      <c r="AS90" s="35">
        <f t="shared" si="39"/>
        <v>0.1655665679097583</v>
      </c>
      <c r="AT90" s="36">
        <f t="shared" si="71"/>
        <v>0.3685649356557283</v>
      </c>
      <c r="AU90" s="4">
        <f t="shared" si="72"/>
        <v>25.05712350537924</v>
      </c>
      <c r="AV90" s="4">
        <f t="shared" si="73"/>
        <v>0.0023991872259281383</v>
      </c>
      <c r="AW90" s="4">
        <f t="shared" si="74"/>
        <v>0.0023513276253664265</v>
      </c>
      <c r="AX90" s="21">
        <v>0</v>
      </c>
      <c r="AY90" s="36">
        <f t="shared" si="75"/>
        <v>0</v>
      </c>
      <c r="AZ90" s="36">
        <f t="shared" si="76"/>
        <v>0</v>
      </c>
      <c r="BA90" s="36">
        <f t="shared" si="77"/>
        <v>-0.00487816091954023</v>
      </c>
      <c r="BB90" s="6">
        <f t="shared" si="50"/>
        <v>0.021392109211741513</v>
      </c>
      <c r="BC90" s="6">
        <f t="shared" si="57"/>
        <v>0.003272318753683303</v>
      </c>
      <c r="BD90" s="4">
        <f t="shared" si="51"/>
        <v>0.8408446177846746</v>
      </c>
      <c r="BE90" s="4">
        <f>SUMPRODUCT(BC$4:BC90,$BD$268:BD$354)</f>
        <v>-0.006331949740425798</v>
      </c>
      <c r="BF90" s="23">
        <f t="shared" si="59"/>
        <v>-0.006331949740425798</v>
      </c>
      <c r="BG90" s="48"/>
    </row>
    <row r="91" spans="5:59" ht="15">
      <c r="E91" s="1">
        <f t="shared" si="52"/>
        <v>87</v>
      </c>
      <c r="F91" s="1">
        <f t="shared" si="40"/>
        <v>1837</v>
      </c>
      <c r="G91" s="3">
        <v>0</v>
      </c>
      <c r="H91" s="3">
        <f t="shared" si="31"/>
        <v>0.07700000000000003</v>
      </c>
      <c r="I91" s="5">
        <f t="shared" si="41"/>
        <v>0.017350208349395494</v>
      </c>
      <c r="J91" s="5">
        <f t="shared" si="53"/>
        <v>0.01819073718500639</v>
      </c>
      <c r="K91" s="4">
        <f t="shared" si="42"/>
        <v>0.041459054465598146</v>
      </c>
      <c r="L91" s="4">
        <f t="shared" si="43"/>
        <v>0.0002113817715390727</v>
      </c>
      <c r="M91" s="4">
        <f t="shared" si="60"/>
        <v>0.08548512140477227</v>
      </c>
      <c r="N91" s="4">
        <f t="shared" si="44"/>
        <v>1.8069996402773464E-05</v>
      </c>
      <c r="O91" s="4">
        <f>SUMPRODUCT($M$4:M91,L$267:$L$354)</f>
        <v>0.04865062907900563</v>
      </c>
      <c r="P91" s="4">
        <f t="shared" si="45"/>
        <v>0.03683449232576664</v>
      </c>
      <c r="Q91" s="4">
        <f t="shared" si="61"/>
        <v>0.99755948879757</v>
      </c>
      <c r="R91" s="4">
        <f t="shared" si="62"/>
        <v>1.303984584415962</v>
      </c>
      <c r="S91" s="4">
        <f t="shared" si="58"/>
        <v>0.03521898997466255</v>
      </c>
      <c r="T91" s="5">
        <f t="shared" si="63"/>
        <v>281.2286497998774</v>
      </c>
      <c r="U91" s="4">
        <f t="shared" si="46"/>
        <v>281.3934578787736</v>
      </c>
      <c r="V91" s="4">
        <f t="shared" si="32"/>
        <v>0.0006406593905504613</v>
      </c>
      <c r="W91" s="4">
        <f>SUMPRODUCT($J$4:J91,$S$267:S$354)</f>
        <v>0.15890200360430962</v>
      </c>
      <c r="X91" s="6">
        <f t="shared" si="64"/>
        <v>0.026558966290100558</v>
      </c>
      <c r="Y91" s="4">
        <f t="shared" si="47"/>
        <v>1837</v>
      </c>
      <c r="Z91" s="4">
        <f t="shared" si="54"/>
        <v>87</v>
      </c>
      <c r="AA91" s="21">
        <f t="shared" si="48"/>
        <v>32.19</v>
      </c>
      <c r="AB91" s="6">
        <f t="shared" si="65"/>
        <v>138.5253745</v>
      </c>
      <c r="AC91" s="24">
        <f t="shared" si="33"/>
        <v>135.31628993084817</v>
      </c>
      <c r="AD91" s="4">
        <f t="shared" si="34"/>
        <v>6.047217549651281</v>
      </c>
      <c r="AE91" s="4">
        <f t="shared" si="35"/>
        <v>3.209084569151827</v>
      </c>
      <c r="AF91" s="6">
        <f t="shared" si="55"/>
        <v>818.287043223526</v>
      </c>
      <c r="AG91" s="30">
        <f t="shared" si="66"/>
        <v>0.049045289600953716</v>
      </c>
      <c r="AH91" s="27">
        <v>0</v>
      </c>
      <c r="AI91" s="47">
        <f t="shared" si="67"/>
        <v>1.975</v>
      </c>
      <c r="AJ91" s="4">
        <f t="shared" si="36"/>
        <v>2.0854887640659494</v>
      </c>
      <c r="AK91" s="4">
        <f t="shared" si="68"/>
        <v>123.69960739219069</v>
      </c>
      <c r="AL91" s="4">
        <f t="shared" si="37"/>
        <v>-0.11048876406594932</v>
      </c>
      <c r="AM91" s="5">
        <f t="shared" si="56"/>
        <v>257.9741413357829</v>
      </c>
      <c r="AN91" s="26">
        <f t="shared" si="69"/>
        <v>-0.05170188761874598</v>
      </c>
      <c r="AO91" s="4">
        <f t="shared" si="38"/>
        <v>1.4437304540868403</v>
      </c>
      <c r="AP91" s="21">
        <v>0</v>
      </c>
      <c r="AQ91" s="21">
        <f t="shared" si="70"/>
        <v>42.980000000000004</v>
      </c>
      <c r="AR91" s="21">
        <f t="shared" si="49"/>
        <v>6.090000000000001</v>
      </c>
      <c r="AS91" s="35">
        <f t="shared" si="39"/>
        <v>0.16536530921690853</v>
      </c>
      <c r="AT91" s="36">
        <f t="shared" si="71"/>
        <v>0.3672303569014938</v>
      </c>
      <c r="AU91" s="4">
        <f t="shared" si="72"/>
        <v>25.07757082966416</v>
      </c>
      <c r="AV91" s="4">
        <f t="shared" si="73"/>
        <v>0.003257974845894765</v>
      </c>
      <c r="AW91" s="4">
        <f t="shared" si="74"/>
        <v>0.002452264480047686</v>
      </c>
      <c r="AX91" s="21">
        <v>0</v>
      </c>
      <c r="AY91" s="36">
        <f t="shared" si="75"/>
        <v>0</v>
      </c>
      <c r="AZ91" s="36">
        <f t="shared" si="76"/>
        <v>0</v>
      </c>
      <c r="BA91" s="36">
        <f t="shared" si="77"/>
        <v>-0.004940229885057473</v>
      </c>
      <c r="BB91" s="6">
        <f t="shared" si="50"/>
        <v>0.02467237771319327</v>
      </c>
      <c r="BC91" s="6">
        <f t="shared" si="57"/>
        <v>0.003280268501451758</v>
      </c>
      <c r="BD91" s="4">
        <f t="shared" si="51"/>
        <v>0.8404824891139943</v>
      </c>
      <c r="BE91" s="4">
        <f>SUMPRODUCT(BC$4:BC91,$BD$267:BD$354)</f>
        <v>-0.00412665002691645</v>
      </c>
      <c r="BF91" s="23">
        <f t="shared" si="59"/>
        <v>-0.00412665002691645</v>
      </c>
      <c r="BG91" s="48"/>
    </row>
    <row r="92" spans="5:59" ht="15">
      <c r="E92" s="1">
        <f t="shared" si="52"/>
        <v>88</v>
      </c>
      <c r="F92" s="1">
        <f t="shared" si="40"/>
        <v>1838</v>
      </c>
      <c r="G92" s="3">
        <v>0</v>
      </c>
      <c r="H92" s="3">
        <f t="shared" si="31"/>
        <v>0.07800000000000003</v>
      </c>
      <c r="I92" s="5">
        <f t="shared" si="41"/>
        <v>0.017722414757088766</v>
      </c>
      <c r="J92" s="5">
        <f t="shared" si="53"/>
        <v>0.01838331487472792</v>
      </c>
      <c r="K92" s="4">
        <f t="shared" si="42"/>
        <v>0.04189427036818334</v>
      </c>
      <c r="L92" s="4">
        <f t="shared" si="43"/>
        <v>0.00021350726939248674</v>
      </c>
      <c r="M92" s="4">
        <f t="shared" si="60"/>
        <v>0.08802204012151588</v>
      </c>
      <c r="N92" s="4">
        <f t="shared" si="44"/>
        <v>1.8793345432700765E-05</v>
      </c>
      <c r="O92" s="4">
        <f>SUMPRODUCT($M$4:M92,L$266:$L$354)</f>
        <v>0.05039735359221642</v>
      </c>
      <c r="P92" s="4">
        <f t="shared" si="45"/>
        <v>0.037624686529299456</v>
      </c>
      <c r="Q92" s="4">
        <f t="shared" si="61"/>
        <v>1.0078425421974997</v>
      </c>
      <c r="R92" s="4">
        <f t="shared" si="62"/>
        <v>1.3174658310088259</v>
      </c>
      <c r="S92" s="4">
        <f t="shared" si="58"/>
        <v>0.03528050513747602</v>
      </c>
      <c r="T92" s="5">
        <f t="shared" si="63"/>
        <v>281.2683641004741</v>
      </c>
      <c r="U92" s="4">
        <f t="shared" si="46"/>
        <v>281.43491693323915</v>
      </c>
      <c r="V92" s="4">
        <f t="shared" si="32"/>
        <v>0.0006485726348816778</v>
      </c>
      <c r="W92" s="4">
        <f>SUMPRODUCT($J$4:J92,$S$266:S$354)</f>
        <v>0.16055213605155452</v>
      </c>
      <c r="X92" s="6">
        <f t="shared" si="64"/>
        <v>0.02734714951510511</v>
      </c>
      <c r="Y92" s="4">
        <f t="shared" si="47"/>
        <v>1838</v>
      </c>
      <c r="Z92" s="4">
        <f t="shared" si="54"/>
        <v>88</v>
      </c>
      <c r="AA92" s="21">
        <f t="shared" si="48"/>
        <v>32.56</v>
      </c>
      <c r="AB92" s="6">
        <f t="shared" si="65"/>
        <v>138.8953745</v>
      </c>
      <c r="AC92" s="24">
        <f t="shared" si="33"/>
        <v>135.6822608954749</v>
      </c>
      <c r="AD92" s="4">
        <f t="shared" si="34"/>
        <v>6.0545580709738545</v>
      </c>
      <c r="AE92" s="4">
        <f t="shared" si="35"/>
        <v>3.213113604525091</v>
      </c>
      <c r="AF92" s="6">
        <f t="shared" si="55"/>
        <v>821.4961277926778</v>
      </c>
      <c r="AG92" s="30">
        <f t="shared" si="66"/>
        <v>0.051062613625400315</v>
      </c>
      <c r="AH92" s="27">
        <v>0</v>
      </c>
      <c r="AI92" s="47">
        <f t="shared" si="67"/>
        <v>1.975</v>
      </c>
      <c r="AJ92" s="4">
        <f t="shared" si="36"/>
        <v>2.0845955618448975</v>
      </c>
      <c r="AK92" s="4">
        <f t="shared" si="68"/>
        <v>123.69960739219069</v>
      </c>
      <c r="AL92" s="4">
        <f t="shared" si="37"/>
        <v>-0.10959556184489738</v>
      </c>
      <c r="AM92" s="5">
        <f t="shared" si="56"/>
        <v>257.86365257171695</v>
      </c>
      <c r="AN92" s="26">
        <f t="shared" si="69"/>
        <v>-0.05211467630636917</v>
      </c>
      <c r="AO92" s="4">
        <f t="shared" si="38"/>
        <v>1.441809776926923</v>
      </c>
      <c r="AP92" s="21">
        <v>0</v>
      </c>
      <c r="AQ92" s="21">
        <f t="shared" si="70"/>
        <v>43.52</v>
      </c>
      <c r="AR92" s="21">
        <f t="shared" si="49"/>
        <v>6.16</v>
      </c>
      <c r="AS92" s="35">
        <f t="shared" si="39"/>
        <v>0.1651648209956228</v>
      </c>
      <c r="AT92" s="36">
        <f t="shared" si="71"/>
        <v>0.3658991140216149</v>
      </c>
      <c r="AU92" s="4">
        <f t="shared" si="72"/>
        <v>25.097966030912268</v>
      </c>
      <c r="AV92" s="4">
        <f t="shared" si="73"/>
        <v>0.00411457329831525</v>
      </c>
      <c r="AW92" s="4">
        <f t="shared" si="74"/>
        <v>0.002553130681270016</v>
      </c>
      <c r="AX92" s="21">
        <v>0</v>
      </c>
      <c r="AY92" s="36">
        <f t="shared" si="75"/>
        <v>0</v>
      </c>
      <c r="AZ92" s="36">
        <f t="shared" si="76"/>
        <v>0</v>
      </c>
      <c r="BA92" s="36">
        <f t="shared" si="77"/>
        <v>-0.005002298850574714</v>
      </c>
      <c r="BB92" s="6">
        <f t="shared" si="50"/>
        <v>0.027960491963146806</v>
      </c>
      <c r="BC92" s="6">
        <f t="shared" si="57"/>
        <v>0.0032881142499535353</v>
      </c>
      <c r="BD92" s="4">
        <f t="shared" si="51"/>
        <v>0.8401195364488486</v>
      </c>
      <c r="BE92" s="4">
        <f>SUMPRODUCT(BC$4:BC92,$BD$266:BD$354)</f>
        <v>-0.0019086204420675525</v>
      </c>
      <c r="BF92" s="23">
        <f t="shared" si="59"/>
        <v>-0.0019086204420675525</v>
      </c>
      <c r="BG92" s="48"/>
    </row>
    <row r="93" spans="5:59" ht="15">
      <c r="E93" s="1">
        <f t="shared" si="52"/>
        <v>89</v>
      </c>
      <c r="F93" s="1">
        <f t="shared" si="40"/>
        <v>1839</v>
      </c>
      <c r="G93" s="3">
        <v>0</v>
      </c>
      <c r="H93" s="3">
        <f t="shared" si="31"/>
        <v>0.07900000000000003</v>
      </c>
      <c r="I93" s="5">
        <f t="shared" si="41"/>
        <v>0.01809470017436723</v>
      </c>
      <c r="J93" s="5">
        <f t="shared" si="53"/>
        <v>0.018580095281186156</v>
      </c>
      <c r="K93" s="4">
        <f t="shared" si="42"/>
        <v>0.04232520454444664</v>
      </c>
      <c r="L93" s="4">
        <f t="shared" si="43"/>
        <v>0.0002156541840083673</v>
      </c>
      <c r="M93" s="4">
        <f t="shared" si="60"/>
        <v>0.09058521051222787</v>
      </c>
      <c r="N93" s="4">
        <f t="shared" si="44"/>
        <v>1.9535079656240678E-05</v>
      </c>
      <c r="O93" s="4">
        <f>SUMPRODUCT($M$4:M93,L$265:$L$354)</f>
        <v>0.052170162042046234</v>
      </c>
      <c r="P93" s="4">
        <f t="shared" si="45"/>
        <v>0.03841504847018164</v>
      </c>
      <c r="Q93" s="4">
        <f t="shared" si="61"/>
        <v>1.0183085756198045</v>
      </c>
      <c r="R93" s="4">
        <f t="shared" si="62"/>
        <v>1.3311877970041286</v>
      </c>
      <c r="S93" s="4">
        <f t="shared" si="58"/>
        <v>0.03534241075499066</v>
      </c>
      <c r="T93" s="5">
        <f t="shared" si="63"/>
        <v>281.3084755403598</v>
      </c>
      <c r="U93" s="4">
        <f t="shared" si="46"/>
        <v>281.4768112036073</v>
      </c>
      <c r="V93" s="4">
        <f t="shared" si="32"/>
        <v>0.0006566653592945447</v>
      </c>
      <c r="W93" s="4">
        <f>SUMPRODUCT($J$4:J93,$S$265:S$354)</f>
        <v>0.16223118733406094</v>
      </c>
      <c r="X93" s="6">
        <f t="shared" si="64"/>
        <v>0.028143488747991816</v>
      </c>
      <c r="Y93" s="4">
        <f t="shared" si="47"/>
        <v>1839</v>
      </c>
      <c r="Z93" s="4">
        <f t="shared" si="54"/>
        <v>89</v>
      </c>
      <c r="AA93" s="21">
        <f t="shared" si="48"/>
        <v>32.93</v>
      </c>
      <c r="AB93" s="6">
        <f t="shared" si="65"/>
        <v>139.2653745</v>
      </c>
      <c r="AC93" s="24">
        <f t="shared" si="33"/>
        <v>136.04824122319474</v>
      </c>
      <c r="AD93" s="4">
        <f t="shared" si="34"/>
        <v>6.061888297726844</v>
      </c>
      <c r="AE93" s="4">
        <f t="shared" si="35"/>
        <v>3.2171332768052707</v>
      </c>
      <c r="AF93" s="6">
        <f t="shared" si="55"/>
        <v>824.709241397203</v>
      </c>
      <c r="AG93" s="30">
        <f t="shared" si="66"/>
        <v>0.05307852661753473</v>
      </c>
      <c r="AH93" s="27">
        <v>0</v>
      </c>
      <c r="AI93" s="47">
        <f t="shared" si="67"/>
        <v>1.975</v>
      </c>
      <c r="AJ93" s="4">
        <f t="shared" si="36"/>
        <v>2.0837095803599484</v>
      </c>
      <c r="AK93" s="4">
        <f t="shared" si="68"/>
        <v>123.69960739219069</v>
      </c>
      <c r="AL93" s="4">
        <f t="shared" si="37"/>
        <v>-0.10870958035994827</v>
      </c>
      <c r="AM93" s="5">
        <f t="shared" si="56"/>
        <v>257.75405700987204</v>
      </c>
      <c r="AN93" s="26">
        <f t="shared" si="69"/>
        <v>-0.05252421534399644</v>
      </c>
      <c r="AO93" s="4">
        <f t="shared" si="38"/>
        <v>1.4398964352126091</v>
      </c>
      <c r="AP93" s="21">
        <v>0</v>
      </c>
      <c r="AQ93" s="21">
        <f t="shared" si="70"/>
        <v>44.06</v>
      </c>
      <c r="AR93" s="21">
        <f t="shared" si="49"/>
        <v>6.23</v>
      </c>
      <c r="AS93" s="35">
        <f t="shared" si="39"/>
        <v>0.16496509847847105</v>
      </c>
      <c r="AT93" s="36">
        <f t="shared" si="71"/>
        <v>0.36457119101029906</v>
      </c>
      <c r="AU93" s="4">
        <f t="shared" si="72"/>
        <v>25.118309359214077</v>
      </c>
      <c r="AV93" s="4">
        <f t="shared" si="73"/>
        <v>0.00496899308699124</v>
      </c>
      <c r="AW93" s="4">
        <f t="shared" si="74"/>
        <v>0.0026539263308767366</v>
      </c>
      <c r="AX93" s="21">
        <v>0</v>
      </c>
      <c r="AY93" s="36">
        <f t="shared" si="75"/>
        <v>0</v>
      </c>
      <c r="AZ93" s="36">
        <f t="shared" si="76"/>
        <v>0</v>
      </c>
      <c r="BA93" s="36">
        <f t="shared" si="77"/>
        <v>-0.005064367816091955</v>
      </c>
      <c r="BB93" s="6">
        <f t="shared" si="50"/>
        <v>0.03125635162330613</v>
      </c>
      <c r="BC93" s="6">
        <f t="shared" si="57"/>
        <v>0.0032958596601593247</v>
      </c>
      <c r="BD93" s="4">
        <f t="shared" si="51"/>
        <v>0.8397557579116031</v>
      </c>
      <c r="BE93" s="4">
        <f>SUMPRODUCT(BC$4:BC93,$BD$265:BD$354)</f>
        <v>0.0003217986886097843</v>
      </c>
      <c r="BF93" s="23">
        <f t="shared" si="59"/>
        <v>0.0003217986886097843</v>
      </c>
      <c r="BG93" s="48"/>
    </row>
    <row r="94" spans="5:59" ht="15">
      <c r="E94" s="1">
        <f t="shared" si="52"/>
        <v>90</v>
      </c>
      <c r="F94" s="1">
        <f t="shared" si="40"/>
        <v>1840</v>
      </c>
      <c r="G94" s="3">
        <v>0</v>
      </c>
      <c r="H94" s="3">
        <f t="shared" si="31"/>
        <v>0.08000000000000003</v>
      </c>
      <c r="I94" s="5">
        <f t="shared" si="41"/>
        <v>0.018467030029181104</v>
      </c>
      <c r="J94" s="5">
        <f t="shared" si="53"/>
        <v>0.01878096978623213</v>
      </c>
      <c r="K94" s="4">
        <f t="shared" si="42"/>
        <v>0.042752000184586796</v>
      </c>
      <c r="L94" s="4">
        <f t="shared" si="43"/>
        <v>0.00021782273345655648</v>
      </c>
      <c r="M94" s="4">
        <f t="shared" si="60"/>
        <v>0.09317435889498248</v>
      </c>
      <c r="N94" s="4">
        <f t="shared" si="44"/>
        <v>2.02954935425673E-05</v>
      </c>
      <c r="O94" s="4">
        <f>SUMPRODUCT($M$4:M94,L$264:$L$354)</f>
        <v>0.053968854143030986</v>
      </c>
      <c r="P94" s="4">
        <f t="shared" si="45"/>
        <v>0.03920550475195149</v>
      </c>
      <c r="Q94" s="4">
        <f t="shared" si="61"/>
        <v>1.0289580279530495</v>
      </c>
      <c r="R94" s="4">
        <f t="shared" si="62"/>
        <v>1.3451511018449622</v>
      </c>
      <c r="S94" s="4">
        <f t="shared" si="58"/>
        <v>0.03540471035196652</v>
      </c>
      <c r="T94" s="5">
        <f t="shared" si="63"/>
        <v>281.3489808218885</v>
      </c>
      <c r="U94" s="4">
        <f t="shared" si="46"/>
        <v>281.5191364081518</v>
      </c>
      <c r="V94" s="4">
        <f t="shared" si="32"/>
        <v>0.000664934795410583</v>
      </c>
      <c r="W94" s="4">
        <f>SUMPRODUCT($J$4:J94,$S$264:S$354)</f>
        <v>0.16393921417722535</v>
      </c>
      <c r="X94" s="6">
        <f t="shared" si="64"/>
        <v>0.02894789895982324</v>
      </c>
      <c r="Y94" s="4">
        <f t="shared" si="47"/>
        <v>1840</v>
      </c>
      <c r="Z94" s="4">
        <f t="shared" si="54"/>
        <v>90</v>
      </c>
      <c r="AA94" s="21">
        <f t="shared" si="48"/>
        <v>33.3</v>
      </c>
      <c r="AB94" s="6">
        <f t="shared" si="65"/>
        <v>139.6353745</v>
      </c>
      <c r="AC94" s="24">
        <f t="shared" si="33"/>
        <v>136.4142303977318</v>
      </c>
      <c r="AD94" s="4">
        <f t="shared" si="34"/>
        <v>6.069208265589968</v>
      </c>
      <c r="AE94" s="4">
        <f t="shared" si="35"/>
        <v>3.221144102268198</v>
      </c>
      <c r="AF94" s="6">
        <f t="shared" si="55"/>
        <v>827.9263746740082</v>
      </c>
      <c r="AG94" s="30">
        <f t="shared" si="66"/>
        <v>0.05509303095826358</v>
      </c>
      <c r="AH94" s="27">
        <v>0</v>
      </c>
      <c r="AI94" s="47">
        <f t="shared" si="67"/>
        <v>1.975</v>
      </c>
      <c r="AJ94" s="4">
        <f t="shared" si="36"/>
        <v>2.08283076123795</v>
      </c>
      <c r="AK94" s="4">
        <f t="shared" si="68"/>
        <v>123.69960739219069</v>
      </c>
      <c r="AL94" s="4">
        <f t="shared" si="37"/>
        <v>-0.10783076123794988</v>
      </c>
      <c r="AM94" s="5">
        <f t="shared" si="56"/>
        <v>257.64534742951207</v>
      </c>
      <c r="AN94" s="26">
        <f t="shared" si="69"/>
        <v>-0.05293052964997187</v>
      </c>
      <c r="AO94" s="4">
        <f t="shared" si="38"/>
        <v>1.437990383349562</v>
      </c>
      <c r="AP94" s="21">
        <v>0</v>
      </c>
      <c r="AQ94" s="21">
        <f t="shared" si="70"/>
        <v>44.6</v>
      </c>
      <c r="AR94" s="21">
        <f t="shared" si="49"/>
        <v>6.300000000000001</v>
      </c>
      <c r="AS94" s="35">
        <f t="shared" si="39"/>
        <v>0.16476613690612793</v>
      </c>
      <c r="AT94" s="36">
        <f t="shared" si="71"/>
        <v>0.36324657175880354</v>
      </c>
      <c r="AU94" s="4">
        <f t="shared" si="72"/>
        <v>25.138601066268695</v>
      </c>
      <c r="AV94" s="4">
        <f t="shared" si="73"/>
        <v>0.005821244783285188</v>
      </c>
      <c r="AW94" s="4">
        <f t="shared" si="74"/>
        <v>0.002754651547913179</v>
      </c>
      <c r="AX94" s="21">
        <v>0</v>
      </c>
      <c r="AY94" s="36">
        <f t="shared" si="75"/>
        <v>0</v>
      </c>
      <c r="AZ94" s="36">
        <f t="shared" si="76"/>
        <v>0</v>
      </c>
      <c r="BA94" s="36">
        <f t="shared" si="77"/>
        <v>-0.005126436781609196</v>
      </c>
      <c r="BB94" s="6">
        <f t="shared" si="50"/>
        <v>0.034559859817704125</v>
      </c>
      <c r="BC94" s="6">
        <f t="shared" si="57"/>
        <v>0.0033035081943979944</v>
      </c>
      <c r="BD94" s="4">
        <f t="shared" si="51"/>
        <v>0.83939115162015</v>
      </c>
      <c r="BE94" s="4">
        <f>SUMPRODUCT(BC$4:BC94,$BD$264:BD$354)</f>
        <v>0.002564285054692806</v>
      </c>
      <c r="BF94" s="23">
        <f t="shared" si="59"/>
        <v>0.002564285054692806</v>
      </c>
      <c r="BG94" s="48"/>
    </row>
    <row r="95" spans="5:59" ht="15">
      <c r="E95" s="1">
        <f t="shared" si="52"/>
        <v>91</v>
      </c>
      <c r="F95" s="1">
        <f t="shared" si="40"/>
        <v>1841</v>
      </c>
      <c r="G95" s="3">
        <v>0</v>
      </c>
      <c r="H95" s="3">
        <f t="shared" si="31"/>
        <v>0.08100000000000003</v>
      </c>
      <c r="I95" s="5">
        <f t="shared" si="41"/>
        <v>0.01883937191806142</v>
      </c>
      <c r="J95" s="5">
        <f t="shared" si="53"/>
        <v>0.018985833375564545</v>
      </c>
      <c r="K95" s="4">
        <f t="shared" si="42"/>
        <v>0.043174794706374066</v>
      </c>
      <c r="L95" s="4">
        <f t="shared" si="43"/>
        <v>0.00022001313814351951</v>
      </c>
      <c r="M95" s="4">
        <f t="shared" si="60"/>
        <v>0.09578922038790261</v>
      </c>
      <c r="N95" s="4">
        <f t="shared" si="44"/>
        <v>2.1074886977863653E-05</v>
      </c>
      <c r="O95" s="4">
        <f>SUMPRODUCT($M$4:M95,L$263:$L$354)</f>
        <v>0.05579323380585821</v>
      </c>
      <c r="P95" s="4">
        <f t="shared" si="45"/>
        <v>0.039995986582044396</v>
      </c>
      <c r="Q95" s="4">
        <f t="shared" si="61"/>
        <v>1.0397912589804128</v>
      </c>
      <c r="R95" s="4">
        <f t="shared" si="62"/>
        <v>1.3593562621632405</v>
      </c>
      <c r="S95" s="4">
        <f t="shared" si="58"/>
        <v>0.03546740749574637</v>
      </c>
      <c r="T95" s="5">
        <f t="shared" si="63"/>
        <v>281.38987675795374</v>
      </c>
      <c r="U95" s="4">
        <f t="shared" si="46"/>
        <v>281.56188840833636</v>
      </c>
      <c r="V95" s="4">
        <f t="shared" si="32"/>
        <v>0.0006733782889774895</v>
      </c>
      <c r="W95" s="4">
        <f>SUMPRODUCT($J$4:J95,$S$263:S$354)</f>
        <v>0.16567626169486066</v>
      </c>
      <c r="X95" s="6">
        <f t="shared" si="64"/>
        <v>0.029760297855707257</v>
      </c>
      <c r="Y95" s="4">
        <f t="shared" si="47"/>
        <v>1841</v>
      </c>
      <c r="Z95" s="4">
        <f t="shared" si="54"/>
        <v>91</v>
      </c>
      <c r="AA95" s="21">
        <f t="shared" si="48"/>
        <v>33.67</v>
      </c>
      <c r="AB95" s="6">
        <f t="shared" si="65"/>
        <v>140.00537450000002</v>
      </c>
      <c r="AC95" s="24">
        <f t="shared" si="33"/>
        <v>136.78022796272546</v>
      </c>
      <c r="AD95" s="4">
        <f t="shared" si="34"/>
        <v>6.076518011088385</v>
      </c>
      <c r="AE95" s="4">
        <f t="shared" si="35"/>
        <v>3.2251465372745542</v>
      </c>
      <c r="AF95" s="6">
        <f t="shared" si="55"/>
        <v>831.1475187762765</v>
      </c>
      <c r="AG95" s="30">
        <f t="shared" si="66"/>
        <v>0.057106129326607</v>
      </c>
      <c r="AH95" s="27">
        <v>0</v>
      </c>
      <c r="AI95" s="47">
        <f t="shared" si="67"/>
        <v>1.975</v>
      </c>
      <c r="AJ95" s="4">
        <f t="shared" si="36"/>
        <v>2.0819590465776434</v>
      </c>
      <c r="AK95" s="4">
        <f t="shared" si="68"/>
        <v>123.69960739219069</v>
      </c>
      <c r="AL95" s="4">
        <f t="shared" si="37"/>
        <v>-0.10695904657764332</v>
      </c>
      <c r="AM95" s="5">
        <f t="shared" si="56"/>
        <v>257.5375166682741</v>
      </c>
      <c r="AN95" s="26">
        <f t="shared" si="69"/>
        <v>-0.05333364396170992</v>
      </c>
      <c r="AO95" s="4">
        <f t="shared" si="38"/>
        <v>1.4360915758626445</v>
      </c>
      <c r="AP95" s="21">
        <v>0</v>
      </c>
      <c r="AQ95" s="21">
        <f t="shared" si="70"/>
        <v>45.14</v>
      </c>
      <c r="AR95" s="21">
        <f t="shared" si="49"/>
        <v>6.370000000000001</v>
      </c>
      <c r="AS95" s="35">
        <f t="shared" si="39"/>
        <v>0.16456793153171065</v>
      </c>
      <c r="AT95" s="36">
        <f t="shared" si="71"/>
        <v>0.3619252400848096</v>
      </c>
      <c r="AU95" s="4">
        <f t="shared" si="72"/>
        <v>25.15884140492485</v>
      </c>
      <c r="AV95" s="4">
        <f t="shared" si="73"/>
        <v>0.006671339006843696</v>
      </c>
      <c r="AW95" s="4">
        <f t="shared" si="74"/>
        <v>0.00285530646633035</v>
      </c>
      <c r="AX95" s="21">
        <v>0</v>
      </c>
      <c r="AY95" s="36">
        <f t="shared" si="75"/>
        <v>0</v>
      </c>
      <c r="AZ95" s="36">
        <f t="shared" si="76"/>
        <v>0</v>
      </c>
      <c r="BA95" s="36">
        <f t="shared" si="77"/>
        <v>-0.005188505747126437</v>
      </c>
      <c r="BB95" s="6">
        <f t="shared" si="50"/>
        <v>0.03787092294665194</v>
      </c>
      <c r="BC95" s="6">
        <f t="shared" si="57"/>
        <v>0.0033110631289478137</v>
      </c>
      <c r="BD95" s="4">
        <f t="shared" si="51"/>
        <v>0.8390257156878845</v>
      </c>
      <c r="BE95" s="4">
        <f>SUMPRODUCT(BC$4:BC95,$BD$263:BD$354)</f>
        <v>0.004818533315101805</v>
      </c>
      <c r="BF95" s="23">
        <f t="shared" si="59"/>
        <v>0.004818533315101805</v>
      </c>
      <c r="BG95" s="48"/>
    </row>
    <row r="96" spans="5:59" ht="15">
      <c r="E96" s="1">
        <f t="shared" si="52"/>
        <v>92</v>
      </c>
      <c r="F96" s="1">
        <f t="shared" si="40"/>
        <v>1842</v>
      </c>
      <c r="G96" s="3">
        <v>0</v>
      </c>
      <c r="H96" s="3">
        <f t="shared" si="31"/>
        <v>0.08200000000000003</v>
      </c>
      <c r="I96" s="5">
        <f t="shared" si="41"/>
        <v>0.019211695471467186</v>
      </c>
      <c r="J96" s="5">
        <f t="shared" si="53"/>
        <v>0.01919458458231298</v>
      </c>
      <c r="K96" s="4">
        <f t="shared" si="42"/>
        <v>0.04359371994621987</v>
      </c>
      <c r="L96" s="4">
        <f t="shared" si="43"/>
        <v>0.000222225620843261</v>
      </c>
      <c r="M96" s="4">
        <f t="shared" si="60"/>
        <v>0.09842953855349437</v>
      </c>
      <c r="N96" s="4">
        <f t="shared" si="44"/>
        <v>2.187356531436598E-05</v>
      </c>
      <c r="O96" s="4">
        <f>SUMPRODUCT($M$4:M96,L$262:$L$354)</f>
        <v>0.05764310906756953</v>
      </c>
      <c r="P96" s="4">
        <f t="shared" si="45"/>
        <v>0.04078642948592484</v>
      </c>
      <c r="Q96" s="4">
        <f t="shared" si="61"/>
        <v>1.0508085548381219</v>
      </c>
      <c r="R96" s="4">
        <f t="shared" si="62"/>
        <v>1.3738036989109828</v>
      </c>
      <c r="S96" s="4">
        <f t="shared" si="58"/>
        <v>0.03553050579686315</v>
      </c>
      <c r="T96" s="5">
        <f t="shared" si="63"/>
        <v>281.431160266727</v>
      </c>
      <c r="U96" s="4">
        <f t="shared" si="46"/>
        <v>281.60506320304273</v>
      </c>
      <c r="V96" s="4">
        <f t="shared" si="32"/>
        <v>0.0006819932987702514</v>
      </c>
      <c r="W96" s="4">
        <f>SUMPRODUCT($J$4:J96,$S$262:S$354)</f>
        <v>0.16744236430052192</v>
      </c>
      <c r="X96" s="6">
        <f t="shared" si="64"/>
        <v>0.030580605764297032</v>
      </c>
      <c r="Y96" s="4">
        <f t="shared" si="47"/>
        <v>1842</v>
      </c>
      <c r="Z96" s="4">
        <f t="shared" si="54"/>
        <v>92</v>
      </c>
      <c r="AA96" s="21">
        <f t="shared" si="48"/>
        <v>34.04</v>
      </c>
      <c r="AB96" s="6">
        <f t="shared" si="65"/>
        <v>140.3753745</v>
      </c>
      <c r="AC96" s="24">
        <f t="shared" si="33"/>
        <v>137.14623351441716</v>
      </c>
      <c r="AD96" s="4">
        <f t="shared" si="34"/>
        <v>6.083817571452588</v>
      </c>
      <c r="AE96" s="4">
        <f t="shared" si="35"/>
        <v>3.2291409855828306</v>
      </c>
      <c r="AF96" s="6">
        <f t="shared" si="55"/>
        <v>834.372665313551</v>
      </c>
      <c r="AG96" s="30">
        <f t="shared" si="66"/>
        <v>0.059117824659510654</v>
      </c>
      <c r="AH96" s="27">
        <v>0</v>
      </c>
      <c r="AI96" s="47">
        <f t="shared" si="67"/>
        <v>1.975</v>
      </c>
      <c r="AJ96" s="4">
        <f t="shared" si="36"/>
        <v>2.0810943789458496</v>
      </c>
      <c r="AK96" s="4">
        <f t="shared" si="68"/>
        <v>123.69960739219069</v>
      </c>
      <c r="AL96" s="4">
        <f t="shared" si="37"/>
        <v>-0.1060943789458495</v>
      </c>
      <c r="AM96" s="5">
        <f t="shared" si="56"/>
        <v>257.4305576216965</v>
      </c>
      <c r="AN96" s="26">
        <f t="shared" si="69"/>
        <v>-0.05373358283685377</v>
      </c>
      <c r="AO96" s="4">
        <f t="shared" si="38"/>
        <v>1.4341999674315862</v>
      </c>
      <c r="AP96" s="21">
        <v>0</v>
      </c>
      <c r="AQ96" s="21">
        <f t="shared" si="70"/>
        <v>45.68</v>
      </c>
      <c r="AR96" s="21">
        <f t="shared" si="49"/>
        <v>6.44</v>
      </c>
      <c r="AS96" s="35">
        <f t="shared" si="39"/>
        <v>0.16437047762450205</v>
      </c>
      <c r="AT96" s="36">
        <f t="shared" si="71"/>
        <v>0.3606071797579187</v>
      </c>
      <c r="AU96" s="4">
        <f t="shared" si="72"/>
        <v>25.17903062878252</v>
      </c>
      <c r="AV96" s="4">
        <f t="shared" si="73"/>
        <v>0.007519286408865853</v>
      </c>
      <c r="AW96" s="4">
        <f t="shared" si="74"/>
        <v>0.002955891232975533</v>
      </c>
      <c r="AX96" s="21">
        <v>0</v>
      </c>
      <c r="AY96" s="36">
        <f t="shared" si="75"/>
        <v>0</v>
      </c>
      <c r="AZ96" s="36">
        <f t="shared" si="76"/>
        <v>0</v>
      </c>
      <c r="BA96" s="36">
        <f t="shared" si="77"/>
        <v>-0.0052505747126436785</v>
      </c>
      <c r="BB96" s="6">
        <f t="shared" si="50"/>
        <v>0.041189450516151624</v>
      </c>
      <c r="BC96" s="6">
        <f t="shared" si="57"/>
        <v>0.003318527569499685</v>
      </c>
      <c r="BD96" s="4">
        <f t="shared" si="51"/>
        <v>0.8386594482236787</v>
      </c>
      <c r="BE96" s="4">
        <f>SUMPRODUCT(BC$4:BC96,$BD$262:BD$354)</f>
        <v>0.007084254113684936</v>
      </c>
      <c r="BF96" s="23">
        <f t="shared" si="59"/>
        <v>0.007084254113684936</v>
      </c>
      <c r="BG96" s="48"/>
    </row>
    <row r="97" spans="5:59" ht="15">
      <c r="E97" s="1">
        <f t="shared" si="52"/>
        <v>93</v>
      </c>
      <c r="F97" s="1">
        <f t="shared" si="40"/>
        <v>1843</v>
      </c>
      <c r="G97" s="3">
        <v>0</v>
      </c>
      <c r="H97" s="3">
        <f t="shared" si="31"/>
        <v>0.08300000000000003</v>
      </c>
      <c r="I97" s="5">
        <f t="shared" si="41"/>
        <v>0.019583972225572725</v>
      </c>
      <c r="J97" s="5">
        <f t="shared" si="53"/>
        <v>0.019407125324626327</v>
      </c>
      <c r="K97" s="4">
        <f t="shared" si="42"/>
        <v>0.04400890244980099</v>
      </c>
      <c r="L97" s="4">
        <f t="shared" si="43"/>
        <v>0.00022446040672893455</v>
      </c>
      <c r="M97" s="4">
        <f t="shared" si="60"/>
        <v>0.10109506505478284</v>
      </c>
      <c r="N97" s="4">
        <f t="shared" si="44"/>
        <v>2.2691839420484657E-05</v>
      </c>
      <c r="O97" s="4">
        <f>SUMPRODUCT($M$4:M97,L$261:$L$354)</f>
        <v>0.05951829201989194</v>
      </c>
      <c r="P97" s="4">
        <f t="shared" si="45"/>
        <v>0.0415767730348909</v>
      </c>
      <c r="Q97" s="4">
        <f t="shared" si="61"/>
        <v>1.0620101337955756</v>
      </c>
      <c r="R97" s="4">
        <f t="shared" si="62"/>
        <v>1.3884937449146209</v>
      </c>
      <c r="S97" s="4">
        <f t="shared" si="58"/>
        <v>0.03559400890965748</v>
      </c>
      <c r="T97" s="5">
        <f t="shared" si="63"/>
        <v>281.47282836754783</v>
      </c>
      <c r="U97" s="4">
        <f t="shared" si="46"/>
        <v>281.64865692298895</v>
      </c>
      <c r="V97" s="4">
        <f t="shared" si="32"/>
        <v>0.0006907773917155887</v>
      </c>
      <c r="W97" s="4">
        <f>SUMPRODUCT($J$4:J97,$S$261:S$354)</f>
        <v>0.16923754648613293</v>
      </c>
      <c r="X97" s="6">
        <f t="shared" si="64"/>
        <v>0.0314087455309575</v>
      </c>
      <c r="Y97" s="4">
        <f t="shared" si="47"/>
        <v>1843</v>
      </c>
      <c r="Z97" s="4">
        <f t="shared" si="54"/>
        <v>93</v>
      </c>
      <c r="AA97" s="21">
        <f t="shared" si="48"/>
        <v>34.41</v>
      </c>
      <c r="AB97" s="6">
        <f t="shared" si="65"/>
        <v>140.7453745</v>
      </c>
      <c r="AC97" s="24">
        <f t="shared" si="33"/>
        <v>137.51224669523998</v>
      </c>
      <c r="AD97" s="4">
        <f t="shared" si="34"/>
        <v>6.09110698449615</v>
      </c>
      <c r="AE97" s="4">
        <f t="shared" si="35"/>
        <v>3.2331278047600165</v>
      </c>
      <c r="AF97" s="6">
        <f t="shared" si="55"/>
        <v>837.6018062991338</v>
      </c>
      <c r="AG97" s="30">
        <f t="shared" si="66"/>
        <v>0.06112812011667822</v>
      </c>
      <c r="AH97" s="27">
        <v>0</v>
      </c>
      <c r="AI97" s="47">
        <f t="shared" si="67"/>
        <v>1.975</v>
      </c>
      <c r="AJ97" s="4">
        <f t="shared" si="36"/>
        <v>2.080236701373685</v>
      </c>
      <c r="AK97" s="4">
        <f t="shared" si="68"/>
        <v>123.69960739219069</v>
      </c>
      <c r="AL97" s="4">
        <f t="shared" si="37"/>
        <v>-0.10523670137368502</v>
      </c>
      <c r="AM97" s="5">
        <f t="shared" si="56"/>
        <v>257.32446324275065</v>
      </c>
      <c r="AN97" s="26">
        <f t="shared" si="69"/>
        <v>-0.05413037065443234</v>
      </c>
      <c r="AO97" s="4">
        <f t="shared" si="38"/>
        <v>1.4323155129215206</v>
      </c>
      <c r="AP97" s="21">
        <v>0</v>
      </c>
      <c r="AQ97" s="21">
        <f t="shared" si="70"/>
        <v>46.22</v>
      </c>
      <c r="AR97" s="21">
        <f t="shared" si="49"/>
        <v>6.510000000000001</v>
      </c>
      <c r="AS97" s="35">
        <f t="shared" si="39"/>
        <v>0.16417377047313822</v>
      </c>
      <c r="AT97" s="36">
        <f t="shared" si="71"/>
        <v>0.35929237452176704</v>
      </c>
      <c r="AU97" s="4">
        <f t="shared" si="72"/>
        <v>25.199168991847387</v>
      </c>
      <c r="AV97" s="4">
        <f t="shared" si="73"/>
        <v>0.008365097657590241</v>
      </c>
      <c r="AW97" s="4">
        <f t="shared" si="74"/>
        <v>0.003056406005833911</v>
      </c>
      <c r="AX97" s="21">
        <v>0</v>
      </c>
      <c r="AY97" s="36">
        <f t="shared" si="75"/>
        <v>0</v>
      </c>
      <c r="AZ97" s="36">
        <f t="shared" si="76"/>
        <v>0</v>
      </c>
      <c r="BA97" s="36">
        <f t="shared" si="77"/>
        <v>-0.0053126436781609195</v>
      </c>
      <c r="BB97" s="6">
        <f t="shared" si="50"/>
        <v>0.04451535497846661</v>
      </c>
      <c r="BC97" s="6">
        <f t="shared" si="57"/>
        <v>0.0033259044623149894</v>
      </c>
      <c r="BD97" s="4">
        <f t="shared" si="51"/>
        <v>0.838292347331854</v>
      </c>
      <c r="BE97" s="4">
        <f>SUMPRODUCT(BC$4:BC97,$BD$261:BD$354)</f>
        <v>0.009361173152757661</v>
      </c>
      <c r="BF97" s="23">
        <f t="shared" si="59"/>
        <v>0.009361173152757661</v>
      </c>
      <c r="BG97" s="48"/>
    </row>
    <row r="98" spans="5:59" ht="15">
      <c r="E98" s="1">
        <f t="shared" si="52"/>
        <v>94</v>
      </c>
      <c r="F98" s="1">
        <f t="shared" si="40"/>
        <v>1844</v>
      </c>
      <c r="G98" s="3">
        <v>0</v>
      </c>
      <c r="H98" s="3">
        <f t="shared" si="31"/>
        <v>0.08400000000000003</v>
      </c>
      <c r="I98" s="5">
        <f t="shared" si="41"/>
        <v>0.01995617550323677</v>
      </c>
      <c r="J98" s="5">
        <f t="shared" si="53"/>
        <v>0.01962336082123586</v>
      </c>
      <c r="K98" s="4">
        <f t="shared" si="42"/>
        <v>0.044420463675527405</v>
      </c>
      <c r="L98" s="4">
        <f t="shared" si="43"/>
        <v>0.00022671772340516913</v>
      </c>
      <c r="M98" s="4">
        <f t="shared" si="60"/>
        <v>0.10378555932930232</v>
      </c>
      <c r="N98" s="4">
        <f t="shared" si="44"/>
        <v>2.3530025733471533E-05</v>
      </c>
      <c r="O98" s="4">
        <f>SUMPRODUCT($M$4:M98,L$260:$L$354)</f>
        <v>0.06141859873593065</v>
      </c>
      <c r="P98" s="4">
        <f t="shared" si="45"/>
        <v>0.04236696059337167</v>
      </c>
      <c r="Q98" s="4">
        <f t="shared" si="61"/>
        <v>1.0733961511938155</v>
      </c>
      <c r="R98" s="4">
        <f t="shared" si="62"/>
        <v>1.4034266513269014</v>
      </c>
      <c r="S98" s="4">
        <f t="shared" si="58"/>
        <v>0.03565792053290533</v>
      </c>
      <c r="T98" s="5">
        <f t="shared" si="63"/>
        <v>281.5148781763983</v>
      </c>
      <c r="U98" s="4">
        <f t="shared" si="46"/>
        <v>281.6926658254387</v>
      </c>
      <c r="V98" s="4">
        <f t="shared" si="32"/>
        <v>0.0006997282407521561</v>
      </c>
      <c r="W98" s="4">
        <f>SUMPRODUCT($J$4:J98,$S$260:S$354)</f>
        <v>0.17106182360094901</v>
      </c>
      <c r="X98" s="6">
        <f t="shared" si="64"/>
        <v>0.032244642416478946</v>
      </c>
      <c r="Y98" s="4">
        <f t="shared" si="47"/>
        <v>1844</v>
      </c>
      <c r="Z98" s="4">
        <f t="shared" si="54"/>
        <v>94</v>
      </c>
      <c r="AA98" s="21">
        <f t="shared" si="48"/>
        <v>34.78</v>
      </c>
      <c r="AB98" s="6">
        <f t="shared" si="65"/>
        <v>141.1153745</v>
      </c>
      <c r="AC98" s="24">
        <f t="shared" si="33"/>
        <v>137.8782671881979</v>
      </c>
      <c r="AD98" s="4">
        <f t="shared" si="34"/>
        <v>6.0983862885090545</v>
      </c>
      <c r="AE98" s="4">
        <f t="shared" si="35"/>
        <v>3.237107311802106</v>
      </c>
      <c r="AF98" s="6">
        <f t="shared" si="55"/>
        <v>840.8349341038938</v>
      </c>
      <c r="AG98" s="30">
        <f t="shared" si="66"/>
        <v>0.06313701904979341</v>
      </c>
      <c r="AH98" s="27">
        <v>0</v>
      </c>
      <c r="AI98" s="47">
        <f t="shared" si="67"/>
        <v>1.975</v>
      </c>
      <c r="AJ98" s="4">
        <f t="shared" si="36"/>
        <v>2.0793859573528084</v>
      </c>
      <c r="AK98" s="4">
        <f t="shared" si="68"/>
        <v>123.69960739219069</v>
      </c>
      <c r="AL98" s="4">
        <f t="shared" si="37"/>
        <v>-0.10438595735280831</v>
      </c>
      <c r="AM98" s="5">
        <f t="shared" si="56"/>
        <v>257.21922654137694</v>
      </c>
      <c r="AN98" s="26">
        <f t="shared" si="69"/>
        <v>-0.05452403161601054</v>
      </c>
      <c r="AO98" s="4">
        <f t="shared" si="38"/>
        <v>1.4304381674090612</v>
      </c>
      <c r="AP98" s="21">
        <v>0</v>
      </c>
      <c r="AQ98" s="21">
        <f t="shared" si="70"/>
        <v>46.760000000000005</v>
      </c>
      <c r="AR98" s="21">
        <f t="shared" si="49"/>
        <v>6.580000000000001</v>
      </c>
      <c r="AS98" s="35">
        <f t="shared" si="39"/>
        <v>0.16397780538833034</v>
      </c>
      <c r="AT98" s="36">
        <f t="shared" si="71"/>
        <v>0.35798080811318866</v>
      </c>
      <c r="AU98" s="4">
        <f t="shared" si="72"/>
        <v>25.219256748231423</v>
      </c>
      <c r="AV98" s="4">
        <f t="shared" si="73"/>
        <v>0.009208783425719774</v>
      </c>
      <c r="AW98" s="4">
        <f t="shared" si="74"/>
        <v>0.0031568509524896706</v>
      </c>
      <c r="AX98" s="21">
        <v>0</v>
      </c>
      <c r="AY98" s="36">
        <f t="shared" si="75"/>
        <v>0</v>
      </c>
      <c r="AZ98" s="36">
        <f t="shared" si="76"/>
        <v>0</v>
      </c>
      <c r="BA98" s="36">
        <f t="shared" si="77"/>
        <v>-0.005374712643678162</v>
      </c>
      <c r="BB98" s="6">
        <f t="shared" si="50"/>
        <v>0.04784855158479309</v>
      </c>
      <c r="BC98" s="6">
        <f t="shared" si="57"/>
        <v>0.0033331966063264787</v>
      </c>
      <c r="BD98" s="4">
        <f t="shared" si="51"/>
        <v>0.8379244111121544</v>
      </c>
      <c r="BE98" s="4">
        <f>SUMPRODUCT(BC$4:BC98,$BD$260:BD$354)</f>
        <v>0.011649030321238643</v>
      </c>
      <c r="BF98" s="23">
        <f t="shared" si="59"/>
        <v>0.011649030321238643</v>
      </c>
      <c r="BG98" s="48"/>
    </row>
    <row r="99" spans="5:59" ht="15">
      <c r="E99" s="1">
        <f t="shared" si="52"/>
        <v>95</v>
      </c>
      <c r="F99" s="1">
        <f t="shared" si="40"/>
        <v>1845</v>
      </c>
      <c r="G99" s="3">
        <v>0</v>
      </c>
      <c r="H99" s="3">
        <f t="shared" si="31"/>
        <v>0.08500000000000003</v>
      </c>
      <c r="I99" s="5">
        <f t="shared" si="41"/>
        <v>0.020328280301439128</v>
      </c>
      <c r="J99" s="5">
        <f t="shared" si="53"/>
        <v>0.019843199457534384</v>
      </c>
      <c r="K99" s="4">
        <f t="shared" si="42"/>
        <v>0.04482852024102652</v>
      </c>
      <c r="L99" s="4">
        <f t="shared" si="43"/>
        <v>0.00022899780094114307</v>
      </c>
      <c r="M99" s="4">
        <f t="shared" si="60"/>
        <v>0.10650078827561199</v>
      </c>
      <c r="N99" s="4">
        <f t="shared" si="44"/>
        <v>2.4388446313613418E-05</v>
      </c>
      <c r="O99" s="4">
        <f>SUMPRODUCT($M$4:M99,L$259:$L$354)</f>
        <v>0.06334384919565672</v>
      </c>
      <c r="P99" s="4">
        <f t="shared" si="45"/>
        <v>0.04315693907995527</v>
      </c>
      <c r="Q99" s="4">
        <f t="shared" si="61"/>
        <v>1.0849667043861297</v>
      </c>
      <c r="R99" s="4">
        <f t="shared" si="62"/>
        <v>1.4186025940827798</v>
      </c>
      <c r="S99" s="4">
        <f t="shared" si="58"/>
        <v>0.035722244410456384</v>
      </c>
      <c r="T99" s="5">
        <f t="shared" si="63"/>
        <v>281.557306902029</v>
      </c>
      <c r="U99" s="4">
        <f t="shared" si="46"/>
        <v>281.73708628911425</v>
      </c>
      <c r="V99" s="4">
        <f t="shared" si="32"/>
        <v>0.0007088436209074788</v>
      </c>
      <c r="W99" s="4">
        <f>SUMPRODUCT($J$4:J99,$S$259:S$354)</f>
        <v>0.17291520254399928</v>
      </c>
      <c r="X99" s="6">
        <f t="shared" si="64"/>
        <v>0.033088223999682004</v>
      </c>
      <c r="Y99" s="4">
        <f t="shared" si="47"/>
        <v>1845</v>
      </c>
      <c r="Z99" s="4">
        <f t="shared" si="54"/>
        <v>95</v>
      </c>
      <c r="AA99" s="21">
        <f t="shared" si="48"/>
        <v>35.15</v>
      </c>
      <c r="AB99" s="6">
        <f t="shared" si="65"/>
        <v>141.4853745</v>
      </c>
      <c r="AC99" s="24">
        <f t="shared" si="33"/>
        <v>138.24429471193753</v>
      </c>
      <c r="AD99" s="4">
        <f t="shared" si="34"/>
        <v>6.10565552216463</v>
      </c>
      <c r="AE99" s="4">
        <f t="shared" si="35"/>
        <v>3.2410797880624784</v>
      </c>
      <c r="AF99" s="6">
        <f t="shared" si="55"/>
        <v>844.0720414156959</v>
      </c>
      <c r="AG99" s="30">
        <f t="shared" si="66"/>
        <v>0.06514452497558412</v>
      </c>
      <c r="AH99" s="27">
        <v>0</v>
      </c>
      <c r="AI99" s="47">
        <f t="shared" si="67"/>
        <v>1.975</v>
      </c>
      <c r="AJ99" s="4">
        <f t="shared" si="36"/>
        <v>2.0785420908316974</v>
      </c>
      <c r="AK99" s="4">
        <f t="shared" si="68"/>
        <v>123.69960739219069</v>
      </c>
      <c r="AL99" s="4">
        <f t="shared" si="37"/>
        <v>-0.1035420908316973</v>
      </c>
      <c r="AM99" s="5">
        <f t="shared" si="56"/>
        <v>257.11484058402414</v>
      </c>
      <c r="AN99" s="26">
        <f t="shared" si="69"/>
        <v>-0.054914589746835246</v>
      </c>
      <c r="AO99" s="4">
        <f t="shared" si="38"/>
        <v>1.4285678862044966</v>
      </c>
      <c r="AP99" s="21">
        <v>0</v>
      </c>
      <c r="AQ99" s="21">
        <f t="shared" si="70"/>
        <v>47.3</v>
      </c>
      <c r="AR99" s="21">
        <f t="shared" si="49"/>
        <v>6.65</v>
      </c>
      <c r="AS99" s="35">
        <f t="shared" si="39"/>
        <v>0.16378257770518165</v>
      </c>
      <c r="AT99" s="36">
        <f t="shared" si="71"/>
        <v>0.3566724642788056</v>
      </c>
      <c r="AU99" s="4">
        <f t="shared" si="72"/>
        <v>25.239294151893663</v>
      </c>
      <c r="AV99" s="4">
        <f t="shared" si="73"/>
        <v>0.010050354379533851</v>
      </c>
      <c r="AW99" s="4">
        <f t="shared" si="74"/>
        <v>0.0032572262487792067</v>
      </c>
      <c r="AX99" s="21">
        <v>0</v>
      </c>
      <c r="AY99" s="36">
        <f t="shared" si="75"/>
        <v>0</v>
      </c>
      <c r="AZ99" s="36">
        <f t="shared" si="76"/>
        <v>0</v>
      </c>
      <c r="BA99" s="36">
        <f t="shared" si="77"/>
        <v>-0.005436781609195402</v>
      </c>
      <c r="BB99" s="6">
        <f t="shared" si="50"/>
        <v>0.05118895824754854</v>
      </c>
      <c r="BC99" s="6">
        <f t="shared" si="57"/>
        <v>0.003340406662755445</v>
      </c>
      <c r="BD99" s="4">
        <f t="shared" si="51"/>
        <v>0.8375556376597157</v>
      </c>
      <c r="BE99" s="4">
        <f>SUMPRODUCT(BC$4:BC99,$BD$259:BD$354)</f>
        <v>0.01394757887429714</v>
      </c>
      <c r="BF99" s="23">
        <f t="shared" si="59"/>
        <v>0.01394757887429714</v>
      </c>
      <c r="BG99" s="48"/>
    </row>
    <row r="100" spans="5:59" ht="15">
      <c r="E100" s="1">
        <f t="shared" si="52"/>
        <v>96</v>
      </c>
      <c r="F100" s="1">
        <f t="shared" si="40"/>
        <v>1846</v>
      </c>
      <c r="G100" s="3">
        <v>0</v>
      </c>
      <c r="H100" s="3">
        <f t="shared" si="31"/>
        <v>0.08600000000000003</v>
      </c>
      <c r="I100" s="5">
        <f t="shared" si="41"/>
        <v>0.020700263186325993</v>
      </c>
      <c r="J100" s="5">
        <f t="shared" si="53"/>
        <v>0.020066552690699183</v>
      </c>
      <c r="K100" s="4">
        <f t="shared" si="42"/>
        <v>0.04523318412297486</v>
      </c>
      <c r="L100" s="4">
        <f t="shared" si="43"/>
        <v>0.00023130087190443164</v>
      </c>
      <c r="M100" s="4">
        <f t="shared" si="60"/>
        <v>0.10924052595499635</v>
      </c>
      <c r="N100" s="4">
        <f t="shared" si="44"/>
        <v>2.5267428900689352E-05</v>
      </c>
      <c r="O100" s="4">
        <f>SUMPRODUCT($M$4:M100,L$258:$L$354)</f>
        <v>0.06529386721042627</v>
      </c>
      <c r="P100" s="4">
        <f t="shared" si="45"/>
        <v>0.043946658744570086</v>
      </c>
      <c r="Q100" s="4">
        <f t="shared" si="61"/>
        <v>1.0967218371298961</v>
      </c>
      <c r="R100" s="4">
        <f t="shared" si="62"/>
        <v>1.4340216796368148</v>
      </c>
      <c r="S100" s="4">
        <f t="shared" si="58"/>
        <v>0.0357869843318831</v>
      </c>
      <c r="T100" s="5">
        <f t="shared" si="63"/>
        <v>281.60011184197754</v>
      </c>
      <c r="U100" s="4">
        <f t="shared" si="46"/>
        <v>281.78191480935527</v>
      </c>
      <c r="V100" s="4">
        <f t="shared" si="32"/>
        <v>0.0007181214067369583</v>
      </c>
      <c r="W100" s="4">
        <f>SUMPRODUCT($J$4:J100,$S$258:S$354)</f>
        <v>0.17479768243537325</v>
      </c>
      <c r="X100" s="6">
        <f t="shared" si="64"/>
        <v>0.03393942008474045</v>
      </c>
      <c r="Y100" s="4">
        <f t="shared" si="47"/>
        <v>1846</v>
      </c>
      <c r="Z100" s="4">
        <f t="shared" si="54"/>
        <v>96</v>
      </c>
      <c r="AA100" s="21">
        <f t="shared" si="48"/>
        <v>35.519999999999996</v>
      </c>
      <c r="AB100" s="6">
        <f t="shared" si="65"/>
        <v>141.85537449999998</v>
      </c>
      <c r="AC100" s="24">
        <f t="shared" si="33"/>
        <v>138.61032901642554</v>
      </c>
      <c r="AD100" s="4">
        <f t="shared" si="34"/>
        <v>6.112914724438397</v>
      </c>
      <c r="AE100" s="4">
        <f t="shared" si="35"/>
        <v>3.245045483574444</v>
      </c>
      <c r="AF100" s="6">
        <f t="shared" si="55"/>
        <v>847.3131212037584</v>
      </c>
      <c r="AG100" s="30">
        <f t="shared" si="66"/>
        <v>0.06715064155224695</v>
      </c>
      <c r="AH100" s="27">
        <v>0</v>
      </c>
      <c r="AI100" s="47">
        <f t="shared" si="67"/>
        <v>1.975</v>
      </c>
      <c r="AJ100" s="4">
        <f t="shared" si="36"/>
        <v>2.077705046211957</v>
      </c>
      <c r="AK100" s="4">
        <f t="shared" si="68"/>
        <v>123.69960739219069</v>
      </c>
      <c r="AL100" s="4">
        <f t="shared" si="37"/>
        <v>-0.10270504621195675</v>
      </c>
      <c r="AM100" s="5">
        <f t="shared" si="56"/>
        <v>257.01129849319244</v>
      </c>
      <c r="AN100" s="26">
        <f t="shared" si="69"/>
        <v>-0.055302068896974386</v>
      </c>
      <c r="AO100" s="4">
        <f t="shared" si="38"/>
        <v>1.426704624870608</v>
      </c>
      <c r="AP100" s="21">
        <v>0</v>
      </c>
      <c r="AQ100" s="21">
        <f t="shared" si="70"/>
        <v>47.84</v>
      </c>
      <c r="AR100" s="21">
        <f t="shared" si="49"/>
        <v>6.720000000000001</v>
      </c>
      <c r="AS100" s="35">
        <f t="shared" si="39"/>
        <v>0.1635880827851515</v>
      </c>
      <c r="AT100" s="36">
        <f t="shared" si="71"/>
        <v>0.3553673267893724</v>
      </c>
      <c r="AU100" s="4">
        <f t="shared" si="72"/>
        <v>25.25928145641606</v>
      </c>
      <c r="AV100" s="4">
        <f t="shared" si="73"/>
        <v>0.010889821169474453</v>
      </c>
      <c r="AW100" s="4">
        <f t="shared" si="74"/>
        <v>0.0033575320776123474</v>
      </c>
      <c r="AX100" s="21">
        <v>0</v>
      </c>
      <c r="AY100" s="36">
        <f t="shared" si="75"/>
        <v>0</v>
      </c>
      <c r="AZ100" s="36">
        <f t="shared" si="76"/>
        <v>0</v>
      </c>
      <c r="BA100" s="36">
        <f t="shared" si="77"/>
        <v>-0.005498850574712645</v>
      </c>
      <c r="BB100" s="6">
        <f t="shared" si="50"/>
        <v>0.05453649541238717</v>
      </c>
      <c r="BC100" s="6">
        <f t="shared" si="57"/>
        <v>0.0033475371648386334</v>
      </c>
      <c r="BD100" s="4">
        <f t="shared" si="51"/>
        <v>0.8371860250650357</v>
      </c>
      <c r="BE100" s="4">
        <f>SUMPRODUCT(BC$4:BC100,$BD$258:BD$354)</f>
        <v>0.01625658466151519</v>
      </c>
      <c r="BF100" s="23">
        <f t="shared" si="59"/>
        <v>0.01625658466151519</v>
      </c>
      <c r="BG100" s="48"/>
    </row>
    <row r="101" spans="5:59" ht="15">
      <c r="E101" s="1">
        <f t="shared" si="52"/>
        <v>97</v>
      </c>
      <c r="F101" s="1">
        <f t="shared" si="40"/>
        <v>1847</v>
      </c>
      <c r="G101" s="3">
        <v>0</v>
      </c>
      <c r="H101" s="3">
        <f t="shared" si="31"/>
        <v>0.08700000000000004</v>
      </c>
      <c r="I101" s="5">
        <f t="shared" si="41"/>
        <v>0.021072102194337534</v>
      </c>
      <c r="J101" s="5">
        <f t="shared" si="53"/>
        <v>0.020293334932774007</v>
      </c>
      <c r="K101" s="4">
        <f t="shared" si="42"/>
        <v>0.04563456287288849</v>
      </c>
      <c r="L101" s="4">
        <f t="shared" si="43"/>
        <v>0.0002336271713956621</v>
      </c>
      <c r="M101" s="4">
        <f t="shared" si="60"/>
        <v>0.11200455330543263</v>
      </c>
      <c r="N101" s="4">
        <f t="shared" si="44"/>
        <v>2.616730697218288E-05</v>
      </c>
      <c r="O101" s="4">
        <f>SUMPRODUCT($M$4:M101,L$257:$L$354)</f>
        <v>0.06726848034685404</v>
      </c>
      <c r="P101" s="4">
        <f t="shared" si="45"/>
        <v>0.04473607295857859</v>
      </c>
      <c r="Q101" s="4">
        <f t="shared" si="61"/>
        <v>1.1086615438442458</v>
      </c>
      <c r="R101" s="4">
        <f t="shared" si="62"/>
        <v>1.4496839505257257</v>
      </c>
      <c r="S101" s="4">
        <f t="shared" si="58"/>
        <v>0.0358521441331407</v>
      </c>
      <c r="T101" s="5">
        <f t="shared" si="63"/>
        <v>281.64329037898733</v>
      </c>
      <c r="U101" s="4">
        <f t="shared" si="46"/>
        <v>281.82714799347826</v>
      </c>
      <c r="V101" s="4">
        <f t="shared" si="32"/>
        <v>0.0007275595689519128</v>
      </c>
      <c r="W101" s="4">
        <f>SUMPRODUCT($J$4:J101,$S$257:S$354)</f>
        <v>0.17670925522608552</v>
      </c>
      <c r="X101" s="6">
        <f t="shared" si="64"/>
        <v>0.03479816261231502</v>
      </c>
      <c r="Y101" s="4">
        <f t="shared" si="47"/>
        <v>1847</v>
      </c>
      <c r="Z101" s="4">
        <f t="shared" si="54"/>
        <v>97</v>
      </c>
      <c r="AA101" s="21">
        <f t="shared" si="48"/>
        <v>35.89</v>
      </c>
      <c r="AB101" s="6">
        <f t="shared" si="65"/>
        <v>142.2253745</v>
      </c>
      <c r="AC101" s="24">
        <f t="shared" si="33"/>
        <v>138.97636987915686</v>
      </c>
      <c r="AD101" s="4">
        <f t="shared" si="34"/>
        <v>6.120163934537309</v>
      </c>
      <c r="AE101" s="4">
        <f t="shared" si="35"/>
        <v>3.249004620843124</v>
      </c>
      <c r="AF101" s="6">
        <f t="shared" si="55"/>
        <v>850.5581666873329</v>
      </c>
      <c r="AG101" s="30">
        <f t="shared" si="66"/>
        <v>0.0691553725588122</v>
      </c>
      <c r="AH101" s="27">
        <v>0</v>
      </c>
      <c r="AI101" s="47">
        <f t="shared" si="67"/>
        <v>1.975</v>
      </c>
      <c r="AJ101" s="4">
        <f t="shared" si="36"/>
        <v>2.0768747683446525</v>
      </c>
      <c r="AK101" s="4">
        <f t="shared" si="68"/>
        <v>123.69960739219069</v>
      </c>
      <c r="AL101" s="4">
        <f t="shared" si="37"/>
        <v>-0.10187476834465237</v>
      </c>
      <c r="AM101" s="5">
        <f t="shared" si="56"/>
        <v>256.9085934469805</v>
      </c>
      <c r="AN101" s="26">
        <f t="shared" si="69"/>
        <v>-0.05568649274245402</v>
      </c>
      <c r="AO101" s="4">
        <f t="shared" si="38"/>
        <v>1.424848339238549</v>
      </c>
      <c r="AP101" s="21">
        <v>0</v>
      </c>
      <c r="AQ101" s="21">
        <f t="shared" si="70"/>
        <v>48.38</v>
      </c>
      <c r="AR101" s="21">
        <f t="shared" si="49"/>
        <v>6.790000000000001</v>
      </c>
      <c r="AS101" s="35">
        <f t="shared" si="39"/>
        <v>0.1633943160177132</v>
      </c>
      <c r="AT101" s="36">
        <f t="shared" si="71"/>
        <v>0.35406537945216093</v>
      </c>
      <c r="AU101" s="4">
        <f t="shared" si="72"/>
        <v>25.279218914809984</v>
      </c>
      <c r="AV101" s="4">
        <f t="shared" si="73"/>
        <v>0.011727194422019345</v>
      </c>
      <c r="AW101" s="4">
        <f t="shared" si="74"/>
        <v>0.00345776862794061</v>
      </c>
      <c r="AX101" s="21">
        <v>0</v>
      </c>
      <c r="AY101" s="36">
        <f t="shared" si="75"/>
        <v>0</v>
      </c>
      <c r="AZ101" s="36">
        <f t="shared" si="76"/>
        <v>0</v>
      </c>
      <c r="BA101" s="36">
        <f t="shared" si="77"/>
        <v>-0.005560919540229886</v>
      </c>
      <c r="BB101" s="6">
        <f t="shared" si="50"/>
        <v>0.05789108593840327</v>
      </c>
      <c r="BC101" s="6">
        <f t="shared" si="57"/>
        <v>0.0033545905260160963</v>
      </c>
      <c r="BD101" s="4">
        <f t="shared" si="51"/>
        <v>0.8368155714139406</v>
      </c>
      <c r="BE101" s="4">
        <f>SUMPRODUCT(BC$4:BC101,$BD$257:BD$354)</f>
        <v>0.018575825400770705</v>
      </c>
      <c r="BF101" s="23">
        <f t="shared" si="59"/>
        <v>0.018575825400770705</v>
      </c>
      <c r="BG101" s="48"/>
    </row>
    <row r="102" spans="5:59" ht="15">
      <c r="E102" s="1">
        <f t="shared" si="52"/>
        <v>98</v>
      </c>
      <c r="F102" s="1">
        <f t="shared" si="40"/>
        <v>1848</v>
      </c>
      <c r="G102" s="3">
        <v>0</v>
      </c>
      <c r="H102" s="3">
        <f t="shared" si="31"/>
        <v>0.08800000000000004</v>
      </c>
      <c r="I102" s="5">
        <f t="shared" si="41"/>
        <v>0.021443776739807918</v>
      </c>
      <c r="J102" s="5">
        <f t="shared" si="53"/>
        <v>0.02052346345389097</v>
      </c>
      <c r="K102" s="4">
        <f t="shared" si="42"/>
        <v>0.04603275980630114</v>
      </c>
      <c r="L102" s="4">
        <f t="shared" si="43"/>
        <v>0.00023597693708400473</v>
      </c>
      <c r="M102" s="4">
        <f t="shared" si="60"/>
        <v>0.11479265786886804</v>
      </c>
      <c r="N102" s="4">
        <f t="shared" si="44"/>
        <v>2.7088419803627555E-05</v>
      </c>
      <c r="O102" s="4">
        <f>SUMPRODUCT($M$4:M102,L$256:$L$354)</f>
        <v>0.06926751985025582</v>
      </c>
      <c r="P102" s="4">
        <f t="shared" si="45"/>
        <v>0.045525138018612216</v>
      </c>
      <c r="Q102" s="4">
        <f t="shared" si="61"/>
        <v>1.1207857734781557</v>
      </c>
      <c r="R102" s="4">
        <f t="shared" si="62"/>
        <v>1.4655893904210953</v>
      </c>
      <c r="S102" s="4">
        <f t="shared" si="58"/>
        <v>0.03591772769723854</v>
      </c>
      <c r="T102" s="5">
        <f t="shared" si="63"/>
        <v>281.6868399774589</v>
      </c>
      <c r="U102" s="4">
        <f t="shared" si="46"/>
        <v>281.8727825563511</v>
      </c>
      <c r="V102" s="4">
        <f t="shared" si="32"/>
        <v>0.0007371561717410826</v>
      </c>
      <c r="W102" s="4">
        <f>SUMPRODUCT($J$4:J102,$S$256:S$354)</f>
        <v>0.17864990627886496</v>
      </c>
      <c r="X102" s="6">
        <f t="shared" si="64"/>
        <v>0.03566438557482253</v>
      </c>
      <c r="Y102" s="4">
        <f t="shared" si="47"/>
        <v>1848</v>
      </c>
      <c r="Z102" s="4">
        <f t="shared" si="54"/>
        <v>98</v>
      </c>
      <c r="AA102" s="21">
        <f t="shared" si="48"/>
        <v>36.26</v>
      </c>
      <c r="AB102" s="6">
        <f t="shared" si="65"/>
        <v>142.5953745</v>
      </c>
      <c r="AC102" s="24">
        <f t="shared" si="33"/>
        <v>139.3424171018279</v>
      </c>
      <c r="AD102" s="4">
        <f t="shared" si="34"/>
        <v>6.1274031918381</v>
      </c>
      <c r="AE102" s="4">
        <f t="shared" si="35"/>
        <v>3.2529573981721</v>
      </c>
      <c r="AF102" s="6">
        <f t="shared" si="55"/>
        <v>853.8071713081761</v>
      </c>
      <c r="AG102" s="30">
        <f t="shared" si="66"/>
        <v>0.07115872187708369</v>
      </c>
      <c r="AH102" s="27">
        <v>0</v>
      </c>
      <c r="AI102" s="47">
        <f t="shared" si="67"/>
        <v>1.975</v>
      </c>
      <c r="AJ102" s="4">
        <f t="shared" si="36"/>
        <v>2.0760512025266813</v>
      </c>
      <c r="AK102" s="4">
        <f t="shared" si="68"/>
        <v>123.69960739219069</v>
      </c>
      <c r="AL102" s="4">
        <f t="shared" si="37"/>
        <v>-0.1010512025266812</v>
      </c>
      <c r="AM102" s="5">
        <f t="shared" si="56"/>
        <v>256.80671867863583</v>
      </c>
      <c r="AN102" s="26">
        <f t="shared" si="69"/>
        <v>-0.05606788478638634</v>
      </c>
      <c r="AO102" s="4">
        <f t="shared" si="38"/>
        <v>1.4229989854211722</v>
      </c>
      <c r="AP102" s="21">
        <v>0</v>
      </c>
      <c r="AQ102" s="21">
        <f t="shared" si="70"/>
        <v>48.92</v>
      </c>
      <c r="AR102" s="21">
        <f t="shared" si="49"/>
        <v>6.86</v>
      </c>
      <c r="AS102" s="35">
        <f t="shared" si="39"/>
        <v>0.16320127282174485</v>
      </c>
      <c r="AT102" s="36">
        <f t="shared" si="71"/>
        <v>0.352766606121637</v>
      </c>
      <c r="AU102" s="4">
        <f t="shared" si="72"/>
        <v>25.29910677934942</v>
      </c>
      <c r="AV102" s="4">
        <f t="shared" si="73"/>
        <v>0.012562484732675593</v>
      </c>
      <c r="AW102" s="4">
        <f t="shared" si="74"/>
        <v>0.0035579360938541847</v>
      </c>
      <c r="AX102" s="21">
        <v>0</v>
      </c>
      <c r="AY102" s="36">
        <f t="shared" si="75"/>
        <v>0</v>
      </c>
      <c r="AZ102" s="36">
        <f t="shared" si="76"/>
        <v>0</v>
      </c>
      <c r="BA102" s="36">
        <f t="shared" si="77"/>
        <v>-0.005622988505747127</v>
      </c>
      <c r="BB102" s="6">
        <f t="shared" si="50"/>
        <v>0.06125265498630253</v>
      </c>
      <c r="BC102" s="6">
        <f t="shared" si="57"/>
        <v>0.0033615690478992627</v>
      </c>
      <c r="BD102" s="4">
        <f t="shared" si="51"/>
        <v>0.8364442747875522</v>
      </c>
      <c r="BE102" s="4">
        <f>SUMPRODUCT(BC$4:BC102,$BD$256:BD$354)</f>
        <v>0.02090508999516619</v>
      </c>
      <c r="BF102" s="23">
        <f t="shared" si="59"/>
        <v>0.02090508999516619</v>
      </c>
      <c r="BG102" s="48"/>
    </row>
    <row r="103" spans="5:59" ht="15">
      <c r="E103" s="1">
        <f t="shared" si="52"/>
        <v>99</v>
      </c>
      <c r="F103" s="1">
        <f t="shared" si="40"/>
        <v>1849</v>
      </c>
      <c r="G103" s="3">
        <v>0</v>
      </c>
      <c r="H103" s="3">
        <f t="shared" si="31"/>
        <v>0.08900000000000004</v>
      </c>
      <c r="I103" s="5">
        <f t="shared" si="41"/>
        <v>0.021815267528139674</v>
      </c>
      <c r="J103" s="5">
        <f t="shared" si="53"/>
        <v>0.020756858276677292</v>
      </c>
      <c r="K103" s="4">
        <f t="shared" si="42"/>
        <v>0.04642787419518307</v>
      </c>
      <c r="L103" s="4">
        <f t="shared" si="43"/>
        <v>0.00023835040924353621</v>
      </c>
      <c r="M103" s="4">
        <f t="shared" si="60"/>
        <v>0.11760463353014732</v>
      </c>
      <c r="N103" s="4">
        <f t="shared" si="44"/>
        <v>2.8031112530846715E-05</v>
      </c>
      <c r="O103" s="4">
        <f>SUMPRODUCT($M$4:M103,L$255:$L$354)</f>
        <v>0.07129082056790678</v>
      </c>
      <c r="P103" s="4">
        <f t="shared" si="45"/>
        <v>0.04631381296224053</v>
      </c>
      <c r="Q103" s="4">
        <f t="shared" si="61"/>
        <v>1.1330944331941268</v>
      </c>
      <c r="R103" s="4">
        <f t="shared" si="62"/>
        <v>1.4817379289412582</v>
      </c>
      <c r="S103" s="4">
        <f t="shared" si="58"/>
        <v>0.03598373895492289</v>
      </c>
      <c r="T103" s="5">
        <f t="shared" si="63"/>
        <v>281.7307581801707</v>
      </c>
      <c r="U103" s="4">
        <f t="shared" si="46"/>
        <v>281.9188153161574</v>
      </c>
      <c r="V103" s="4">
        <f t="shared" si="32"/>
        <v>0.0007469093697522863</v>
      </c>
      <c r="W103" s="4">
        <f>SUMPRODUCT($J$4:J103,$S$255:S$354)</f>
        <v>0.18061961490199074</v>
      </c>
      <c r="X103" s="6">
        <f t="shared" si="64"/>
        <v>0.036538024935324515</v>
      </c>
      <c r="Y103" s="4">
        <f t="shared" si="47"/>
        <v>1849</v>
      </c>
      <c r="Z103" s="4">
        <f t="shared" si="54"/>
        <v>99</v>
      </c>
      <c r="AA103" s="21">
        <f t="shared" si="48"/>
        <v>36.63</v>
      </c>
      <c r="AB103" s="6">
        <f t="shared" si="65"/>
        <v>142.9653745</v>
      </c>
      <c r="AC103" s="24">
        <f t="shared" si="33"/>
        <v>139.70847050741747</v>
      </c>
      <c r="AD103" s="4">
        <f t="shared" si="34"/>
        <v>6.134632535833571</v>
      </c>
      <c r="AE103" s="4">
        <f t="shared" si="35"/>
        <v>3.2569039925825223</v>
      </c>
      <c r="AF103" s="6">
        <f t="shared" si="55"/>
        <v>857.0601287063482</v>
      </c>
      <c r="AG103" s="30">
        <f t="shared" si="66"/>
        <v>0.0731606934758327</v>
      </c>
      <c r="AH103" s="27">
        <v>0</v>
      </c>
      <c r="AI103" s="47">
        <f t="shared" si="67"/>
        <v>1.975</v>
      </c>
      <c r="AJ103" s="4">
        <f t="shared" si="36"/>
        <v>2.0752342944971653</v>
      </c>
      <c r="AK103" s="4">
        <f t="shared" si="68"/>
        <v>123.69960739219069</v>
      </c>
      <c r="AL103" s="4">
        <f t="shared" si="37"/>
        <v>-0.10023429449716525</v>
      </c>
      <c r="AM103" s="5">
        <f t="shared" si="56"/>
        <v>256.70566747610917</v>
      </c>
      <c r="AN103" s="26">
        <f t="shared" si="69"/>
        <v>-0.05644626836009522</v>
      </c>
      <c r="AO103" s="4">
        <f t="shared" si="38"/>
        <v>1.4211565198241338</v>
      </c>
      <c r="AP103" s="21">
        <v>0</v>
      </c>
      <c r="AQ103" s="21">
        <f t="shared" si="70"/>
        <v>49.46</v>
      </c>
      <c r="AR103" s="21">
        <f t="shared" si="49"/>
        <v>6.930000000000001</v>
      </c>
      <c r="AS103" s="35">
        <f t="shared" si="39"/>
        <v>0.16300894864668866</v>
      </c>
      <c r="AT103" s="36">
        <f t="shared" si="71"/>
        <v>0.3514709907086445</v>
      </c>
      <c r="AU103" s="4">
        <f t="shared" si="72"/>
        <v>25.31894530142743</v>
      </c>
      <c r="AV103" s="4">
        <f t="shared" si="73"/>
        <v>0.013395702659952059</v>
      </c>
      <c r="AW103" s="4">
        <f t="shared" si="74"/>
        <v>0.003658034673791636</v>
      </c>
      <c r="AX103" s="21">
        <v>0</v>
      </c>
      <c r="AY103" s="36">
        <f t="shared" si="75"/>
        <v>0</v>
      </c>
      <c r="AZ103" s="36">
        <f t="shared" si="76"/>
        <v>0</v>
      </c>
      <c r="BA103" s="36">
        <f t="shared" si="77"/>
        <v>-0.005685057471264368</v>
      </c>
      <c r="BB103" s="6">
        <f t="shared" si="50"/>
        <v>0.06462112991354133</v>
      </c>
      <c r="BC103" s="6">
        <f t="shared" si="57"/>
        <v>0.003368474927238796</v>
      </c>
      <c r="BD103" s="4">
        <f t="shared" si="51"/>
        <v>0.8360721332622509</v>
      </c>
      <c r="BE103" s="4">
        <f>SUMPRODUCT(BC$4:BC103,$BD$255:BD$354)</f>
        <v>0.02324417789049354</v>
      </c>
      <c r="BF103" s="23">
        <f t="shared" si="59"/>
        <v>0.02324417789049354</v>
      </c>
      <c r="BG103" s="48"/>
    </row>
    <row r="104" spans="5:59" ht="15">
      <c r="E104" s="1">
        <f t="shared" si="52"/>
        <v>100</v>
      </c>
      <c r="F104" s="1">
        <f t="shared" si="40"/>
        <v>1850</v>
      </c>
      <c r="G104" s="3">
        <v>0</v>
      </c>
      <c r="H104" s="3">
        <f t="shared" si="31"/>
        <v>0.09000000000000004</v>
      </c>
      <c r="I104" s="5">
        <f t="shared" si="41"/>
        <v>0.02218655647454434</v>
      </c>
      <c r="J104" s="5">
        <f t="shared" si="53"/>
        <v>0.020993442081848813</v>
      </c>
      <c r="K104" s="4">
        <f t="shared" si="42"/>
        <v>0.04682000144360688</v>
      </c>
      <c r="L104" s="4">
        <f t="shared" si="43"/>
        <v>0.0002407478307905087</v>
      </c>
      <c r="M104" s="4">
        <f t="shared" si="60"/>
        <v>0.12044028026775883</v>
      </c>
      <c r="N104" s="4">
        <f t="shared" si="44"/>
        <v>2.8995736214263848E-05</v>
      </c>
      <c r="O104" s="4">
        <f>SUMPRODUCT($M$4:M104,L$254:$L$354)</f>
        <v>0.07333822087230119</v>
      </c>
      <c r="P104" s="4">
        <f t="shared" si="45"/>
        <v>0.04710205939545764</v>
      </c>
      <c r="Q104" s="4">
        <f t="shared" si="61"/>
        <v>1.1455873917540629</v>
      </c>
      <c r="R104" s="4">
        <f t="shared" si="62"/>
        <v>1.4981294460735972</v>
      </c>
      <c r="S104" s="4">
        <f t="shared" si="58"/>
        <v>0.03605018188537157</v>
      </c>
      <c r="T104" s="5">
        <f t="shared" si="63"/>
        <v>281.775042605091</v>
      </c>
      <c r="U104" s="4">
        <f t="shared" si="46"/>
        <v>281.96524319035257</v>
      </c>
      <c r="V104" s="4">
        <f t="shared" si="32"/>
        <v>0.0007568174054506633</v>
      </c>
      <c r="W104" s="4">
        <f>SUMPRODUCT($J$4:J104,$S$254:S$354)</f>
        <v>0.18261835485265276</v>
      </c>
      <c r="X104" s="6">
        <f t="shared" si="64"/>
        <v>0.037419018550087675</v>
      </c>
      <c r="Y104" s="4">
        <f t="shared" si="47"/>
        <v>1850</v>
      </c>
      <c r="Z104" s="4">
        <f t="shared" si="54"/>
        <v>100</v>
      </c>
      <c r="AA104" s="21">
        <f t="shared" si="48"/>
        <v>37</v>
      </c>
      <c r="AB104" s="6">
        <f t="shared" si="65"/>
        <v>143.3353745</v>
      </c>
      <c r="AC104" s="24">
        <f t="shared" si="33"/>
        <v>140.07452993762462</v>
      </c>
      <c r="AD104" s="4">
        <f t="shared" si="34"/>
        <v>6.1418520060858395</v>
      </c>
      <c r="AE104" s="4">
        <f t="shared" si="35"/>
        <v>3.2608445623753823</v>
      </c>
      <c r="AF104" s="6">
        <f t="shared" si="55"/>
        <v>860.3170326989307</v>
      </c>
      <c r="AG104" s="30">
        <f t="shared" si="66"/>
        <v>0.07516129139696323</v>
      </c>
      <c r="AH104" s="27">
        <v>0</v>
      </c>
      <c r="AI104" s="47">
        <f t="shared" si="67"/>
        <v>1.975</v>
      </c>
      <c r="AJ104" s="4">
        <f t="shared" si="36"/>
        <v>2.074423990433876</v>
      </c>
      <c r="AK104" s="4">
        <f t="shared" si="68"/>
        <v>123.69960739219069</v>
      </c>
      <c r="AL104" s="4">
        <f t="shared" si="37"/>
        <v>-0.09942399043387606</v>
      </c>
      <c r="AM104" s="5">
        <f t="shared" si="56"/>
        <v>256.605433181612</v>
      </c>
      <c r="AN104" s="26">
        <f t="shared" si="69"/>
        <v>-0.056821666624235684</v>
      </c>
      <c r="AO104" s="4">
        <f t="shared" si="38"/>
        <v>1.4193208991550657</v>
      </c>
      <c r="AP104" s="21">
        <f>0.2*(Z104-100)</f>
        <v>0</v>
      </c>
      <c r="AQ104" s="21">
        <f t="shared" si="70"/>
        <v>50</v>
      </c>
      <c r="AR104" s="21">
        <f t="shared" si="49"/>
        <v>7.000000000000001</v>
      </c>
      <c r="AS104" s="35">
        <f t="shared" si="39"/>
        <v>0.16281733897350828</v>
      </c>
      <c r="AT104" s="36">
        <f t="shared" si="71"/>
        <v>0.3501785171882884</v>
      </c>
      <c r="AU104" s="4">
        <f t="shared" si="72"/>
        <v>25.33873473143299</v>
      </c>
      <c r="AV104" s="4">
        <f t="shared" si="73"/>
        <v>0.014226858720185556</v>
      </c>
      <c r="AW104" s="4">
        <f t="shared" si="74"/>
        <v>0.003758064569848162</v>
      </c>
      <c r="AX104" s="21">
        <f>0.235*(Z104-$Z$104)</f>
        <v>0</v>
      </c>
      <c r="AY104" s="36">
        <f t="shared" si="75"/>
        <v>0</v>
      </c>
      <c r="AZ104" s="36">
        <f t="shared" si="76"/>
        <v>0</v>
      </c>
      <c r="BA104" s="36">
        <f t="shared" si="77"/>
        <v>-0.005747126436781609</v>
      </c>
      <c r="BB104" s="6">
        <f t="shared" si="50"/>
        <v>0.06799644017606733</v>
      </c>
      <c r="BC104" s="6">
        <f t="shared" si="57"/>
        <v>0.0033753102625260073</v>
      </c>
      <c r="BD104" s="4">
        <f t="shared" si="51"/>
        <v>0.8356991449096387</v>
      </c>
      <c r="BE104" s="4">
        <f>SUMPRODUCT(BC$4:BC104,$BD$254:BD$354)</f>
        <v>0.025592898470847465</v>
      </c>
      <c r="BF104" s="23">
        <f t="shared" si="59"/>
        <v>0.025592898470847465</v>
      </c>
      <c r="BG104" s="48"/>
    </row>
    <row r="105" spans="5:59" ht="15">
      <c r="E105" s="1">
        <f t="shared" si="52"/>
        <v>101</v>
      </c>
      <c r="F105" s="1">
        <f t="shared" si="40"/>
        <v>1851</v>
      </c>
      <c r="G105" s="3">
        <f>0.0045*(E105-$E$104)</f>
        <v>0.0045</v>
      </c>
      <c r="H105" s="3">
        <f>H104+0.0011</f>
        <v>0.09110000000000004</v>
      </c>
      <c r="I105" s="5">
        <f t="shared" si="41"/>
        <v>0.02255762662779898</v>
      </c>
      <c r="J105" s="5">
        <f t="shared" si="53"/>
        <v>0.021233140111168357</v>
      </c>
      <c r="K105" s="4">
        <f t="shared" si="42"/>
        <v>0.05180923326103271</v>
      </c>
      <c r="L105" s="4">
        <f t="shared" si="43"/>
        <v>0.00024316944732156225</v>
      </c>
      <c r="M105" s="4">
        <f t="shared" si="60"/>
        <v>0.12329940391542027</v>
      </c>
      <c r="N105" s="4">
        <f t="shared" si="44"/>
        <v>2.9982647905190817E-05</v>
      </c>
      <c r="O105" s="4">
        <f>SUMPRODUCT($M$4:M105,L$253:$L$354)</f>
        <v>0.07540956258460303</v>
      </c>
      <c r="P105" s="4">
        <f t="shared" si="45"/>
        <v>0.04788984133081724</v>
      </c>
      <c r="Q105" s="4">
        <f t="shared" si="61"/>
        <v>1.158264482711853</v>
      </c>
      <c r="R105" s="4">
        <f t="shared" si="62"/>
        <v>1.5147637763442758</v>
      </c>
      <c r="S105" s="4">
        <f t="shared" si="58"/>
        <v>0.03611706051690063</v>
      </c>
      <c r="T105" s="5">
        <f t="shared" si="63"/>
        <v>281.819690942389</v>
      </c>
      <c r="U105" s="4">
        <f t="shared" si="46"/>
        <v>282.0120631917962</v>
      </c>
      <c r="V105" s="4">
        <f t="shared" si="32"/>
        <v>0.0007668786063588978</v>
      </c>
      <c r="W105" s="4">
        <f>SUMPRODUCT($J$4:J105,$S$253:S$354)</f>
        <v>0.18464609480235147</v>
      </c>
      <c r="X105" s="6">
        <f t="shared" si="64"/>
        <v>0.038307306094512106</v>
      </c>
      <c r="Y105" s="4">
        <f t="shared" si="47"/>
        <v>1851</v>
      </c>
      <c r="Z105" s="4">
        <f t="shared" si="54"/>
        <v>101</v>
      </c>
      <c r="AA105" s="21">
        <f t="shared" si="48"/>
        <v>37.37</v>
      </c>
      <c r="AB105" s="6">
        <f t="shared" si="65"/>
        <v>143.7053745</v>
      </c>
      <c r="AC105" s="24">
        <f t="shared" si="33"/>
        <v>140.40182684948027</v>
      </c>
      <c r="AD105" s="4">
        <f t="shared" si="34"/>
        <v>6.150759549497292</v>
      </c>
      <c r="AE105" s="4">
        <f t="shared" si="35"/>
        <v>3.3035476505197323</v>
      </c>
      <c r="AF105" s="6">
        <f>AF104+AE104</f>
        <v>863.5778772613061</v>
      </c>
      <c r="AG105" s="30">
        <f t="shared" si="66"/>
        <v>0.07716051974340687</v>
      </c>
      <c r="AH105" s="27">
        <v>0</v>
      </c>
      <c r="AI105" s="47">
        <f t="shared" si="67"/>
        <v>1.975</v>
      </c>
      <c r="AJ105" s="4">
        <f t="shared" si="36"/>
        <v>2.0736202369496906</v>
      </c>
      <c r="AK105" s="4">
        <f t="shared" si="68"/>
        <v>123.69960739219069</v>
      </c>
      <c r="AL105" s="4">
        <f t="shared" si="37"/>
        <v>-0.09862023694969047</v>
      </c>
      <c r="AM105" s="5">
        <f t="shared" si="56"/>
        <v>256.5060091911781</v>
      </c>
      <c r="AN105" s="26">
        <f t="shared" si="69"/>
        <v>-0.057194102569907125</v>
      </c>
      <c r="AO105" s="4">
        <f t="shared" si="38"/>
        <v>1.4170620077153484</v>
      </c>
      <c r="AP105" s="21">
        <f aca="true" t="shared" si="78" ref="AP105:AP168">0.2*(Z105-100)</f>
        <v>0.2</v>
      </c>
      <c r="AQ105" s="21">
        <f aca="true" t="shared" si="79" ref="AQ105:AQ136">1.9*(Z105-$Z$104)+$AQ$104</f>
        <v>51.9</v>
      </c>
      <c r="AR105" s="21">
        <f aca="true" t="shared" si="80" ref="AR105:AR136">0.58*(Z105-$Z$104)+$AR$104</f>
        <v>7.580000000000001</v>
      </c>
      <c r="AS105" s="35">
        <f t="shared" si="39"/>
        <v>0.16258154654765053</v>
      </c>
      <c r="AT105" s="36">
        <f t="shared" si="71"/>
        <v>0.34858571960668283</v>
      </c>
      <c r="AU105" s="4">
        <f t="shared" si="72"/>
        <v>25.386654318645583</v>
      </c>
      <c r="AV105" s="4">
        <f t="shared" si="73"/>
        <v>0.01623948138311448</v>
      </c>
      <c r="AW105" s="4">
        <f t="shared" si="74"/>
        <v>0.003858025987170344</v>
      </c>
      <c r="AX105" s="21">
        <f>0.235*(Z105-$Z$104)</f>
        <v>0.235</v>
      </c>
      <c r="AY105" s="36">
        <f t="shared" si="75"/>
        <v>-0.0013864306784660769</v>
      </c>
      <c r="AZ105" s="36">
        <f t="shared" si="76"/>
        <v>-0.004644907945273071</v>
      </c>
      <c r="BA105" s="36">
        <f t="shared" si="77"/>
        <v>-0.005965517241379311</v>
      </c>
      <c r="BB105" s="6">
        <f t="shared" si="50"/>
        <v>0.06637437477317823</v>
      </c>
      <c r="BC105" s="6">
        <f t="shared" si="57"/>
        <v>-0.001622065402889103</v>
      </c>
      <c r="BD105" s="4">
        <f t="shared" si="51"/>
        <v>0.8353253077964988</v>
      </c>
      <c r="BE105" s="4">
        <f>SUMPRODUCT(BC$4:BC105,$BD$253:BD$354)</f>
        <v>0.027951070490141106</v>
      </c>
      <c r="BF105" s="23">
        <f t="shared" si="59"/>
        <v>0.027951070490141106</v>
      </c>
      <c r="BG105" s="48"/>
    </row>
    <row r="106" spans="5:59" ht="15">
      <c r="E106" s="1">
        <f t="shared" si="52"/>
        <v>102</v>
      </c>
      <c r="F106" s="1">
        <f t="shared" si="40"/>
        <v>1852</v>
      </c>
      <c r="G106" s="3">
        <f aca="true" t="shared" si="81" ref="G106:G154">0.0045*(E106-$E$104)</f>
        <v>0.009</v>
      </c>
      <c r="H106" s="3">
        <f aca="true" t="shared" si="82" ref="H106:H154">H105+0.0011</f>
        <v>0.09220000000000005</v>
      </c>
      <c r="I106" s="5">
        <f t="shared" si="41"/>
        <v>0.023060743464216958</v>
      </c>
      <c r="J106" s="5">
        <f t="shared" si="53"/>
        <v>0.02198360634651267</v>
      </c>
      <c r="K106" s="4">
        <f t="shared" si="42"/>
        <v>0.056155650189270406</v>
      </c>
      <c r="L106" s="4">
        <f t="shared" si="43"/>
        <v>0.00024561550715291913</v>
      </c>
      <c r="M106" s="4">
        <f t="shared" si="60"/>
        <v>0.12646264823389433</v>
      </c>
      <c r="N106" s="4">
        <f t="shared" si="44"/>
        <v>3.106118748186917E-05</v>
      </c>
      <c r="O106" s="4">
        <f>SUMPRODUCT($M$4:M106,L$252:$L$354)</f>
        <v>0.07750468985936172</v>
      </c>
      <c r="P106" s="4">
        <f t="shared" si="45"/>
        <v>0.04895795837453261</v>
      </c>
      <c r="Q106" s="4">
        <f t="shared" si="61"/>
        <v>1.1711255073651905</v>
      </c>
      <c r="R106" s="4">
        <f t="shared" si="62"/>
        <v>1.5316407126730947</v>
      </c>
      <c r="S106" s="4">
        <f t="shared" si="58"/>
        <v>0.036184378927683385</v>
      </c>
      <c r="T106" s="5">
        <f t="shared" si="63"/>
        <v>281.86470095155784</v>
      </c>
      <c r="U106" s="4">
        <f t="shared" si="46"/>
        <v>282.06387242505724</v>
      </c>
      <c r="V106" s="4">
        <f t="shared" si="32"/>
        <v>0.0007954631422392398</v>
      </c>
      <c r="W106" s="4">
        <f>SUMPRODUCT($J$4:J106,$S$252:S$354)</f>
        <v>0.1872102508702171</v>
      </c>
      <c r="X106" s="6">
        <f t="shared" si="64"/>
        <v>0.03929007944548982</v>
      </c>
      <c r="Y106" s="4">
        <f t="shared" si="47"/>
        <v>1852</v>
      </c>
      <c r="Z106" s="4">
        <f t="shared" si="54"/>
        <v>102</v>
      </c>
      <c r="AA106" s="21">
        <f t="shared" si="48"/>
        <v>37.74</v>
      </c>
      <c r="AB106" s="6">
        <f t="shared" si="65"/>
        <v>144.0753745</v>
      </c>
      <c r="AC106" s="24">
        <f t="shared" si="33"/>
        <v>140.73340996272088</v>
      </c>
      <c r="AD106" s="4">
        <f t="shared" si="34"/>
        <v>6.159741493803465</v>
      </c>
      <c r="AE106" s="4">
        <f t="shared" si="35"/>
        <v>3.341964537279125</v>
      </c>
      <c r="AF106" s="6">
        <f aca="true" t="shared" si="83" ref="AF106:AF169">AF105+AE105</f>
        <v>866.8814249118258</v>
      </c>
      <c r="AG106" s="30">
        <f t="shared" si="66"/>
        <v>0.07918208414509167</v>
      </c>
      <c r="AH106" s="27">
        <v>0</v>
      </c>
      <c r="AI106" s="47">
        <f t="shared" si="67"/>
        <v>1.975</v>
      </c>
      <c r="AJ106" s="4">
        <f t="shared" si="36"/>
        <v>2.0728229810890717</v>
      </c>
      <c r="AK106" s="4">
        <f t="shared" si="68"/>
        <v>123.69960739219069</v>
      </c>
      <c r="AL106" s="4">
        <f t="shared" si="37"/>
        <v>-0.09782298108907161</v>
      </c>
      <c r="AM106" s="5">
        <f t="shared" si="56"/>
        <v>256.40738895422845</v>
      </c>
      <c r="AN106" s="26">
        <f t="shared" si="69"/>
        <v>-0.057563599019763385</v>
      </c>
      <c r="AO106" s="4">
        <f t="shared" si="38"/>
        <v>1.414790863926173</v>
      </c>
      <c r="AP106" s="21">
        <f t="shared" si="78"/>
        <v>0.4</v>
      </c>
      <c r="AQ106" s="21">
        <f t="shared" si="79"/>
        <v>53.8</v>
      </c>
      <c r="AR106" s="21">
        <f t="shared" si="80"/>
        <v>8.16</v>
      </c>
      <c r="AS106" s="35">
        <f t="shared" si="39"/>
        <v>0.16234447517090989</v>
      </c>
      <c r="AT106" s="36">
        <f t="shared" si="71"/>
        <v>0.3469817208263406</v>
      </c>
      <c r="AU106" s="4">
        <f t="shared" si="72"/>
        <v>25.43474892458843</v>
      </c>
      <c r="AV106" s="4">
        <f t="shared" si="73"/>
        <v>0.01825945483271405</v>
      </c>
      <c r="AW106" s="4">
        <f t="shared" si="74"/>
        <v>0.003959104207254584</v>
      </c>
      <c r="AX106" s="21">
        <f aca="true" t="shared" si="84" ref="AX106:AX169">0.235*(Z106-$Z$104)</f>
        <v>0.47</v>
      </c>
      <c r="AY106" s="36">
        <f t="shared" si="75"/>
        <v>-0.0027728613569321537</v>
      </c>
      <c r="AZ106" s="36">
        <f t="shared" si="76"/>
        <v>-0.009264042701622953</v>
      </c>
      <c r="BA106" s="36">
        <f t="shared" si="77"/>
        <v>-0.006183908045977011</v>
      </c>
      <c r="BB106" s="6">
        <f t="shared" si="50"/>
        <v>0.06490631150625462</v>
      </c>
      <c r="BC106" s="6">
        <f t="shared" si="57"/>
        <v>-0.0014680632669236138</v>
      </c>
      <c r="BD106" s="4">
        <f t="shared" si="51"/>
        <v>0.8349506199847547</v>
      </c>
      <c r="BE106" s="4">
        <f>SUMPRODUCT(BC$4:BC106,$BD$252:BD$354)</f>
        <v>0.030076867241174726</v>
      </c>
      <c r="BF106" s="23">
        <f t="shared" si="59"/>
        <v>0.030076867241174726</v>
      </c>
      <c r="BG106" s="48"/>
    </row>
    <row r="107" spans="5:59" ht="15">
      <c r="E107" s="1">
        <f t="shared" si="52"/>
        <v>103</v>
      </c>
      <c r="F107" s="1">
        <f t="shared" si="40"/>
        <v>1853</v>
      </c>
      <c r="G107" s="3">
        <f t="shared" si="81"/>
        <v>0.013499999999999998</v>
      </c>
      <c r="H107" s="3">
        <f t="shared" si="82"/>
        <v>0.09330000000000005</v>
      </c>
      <c r="I107" s="5">
        <f t="shared" si="41"/>
        <v>0.02366999393581449</v>
      </c>
      <c r="J107" s="5">
        <f t="shared" si="53"/>
        <v>0.023025369244506263</v>
      </c>
      <c r="K107" s="4">
        <f t="shared" si="42"/>
        <v>0.060104636819679286</v>
      </c>
      <c r="L107" s="4">
        <f t="shared" si="43"/>
        <v>0.0002480862613605995</v>
      </c>
      <c r="M107" s="4">
        <f t="shared" si="60"/>
        <v>0.1298906095727254</v>
      </c>
      <c r="N107" s="4">
        <f t="shared" si="44"/>
        <v>3.2224075714746744E-05</v>
      </c>
      <c r="O107" s="4">
        <f>SUMPRODUCT($M$4:M107,L$251:$L$354)</f>
        <v>0.07963921244699125</v>
      </c>
      <c r="P107" s="4">
        <f t="shared" si="45"/>
        <v>0.05025139712573416</v>
      </c>
      <c r="Q107" s="4">
        <f t="shared" si="61"/>
        <v>1.1873887734751891</v>
      </c>
      <c r="R107" s="4">
        <f t="shared" si="62"/>
        <v>1.5529840671520223</v>
      </c>
      <c r="S107" s="4">
        <f t="shared" si="58"/>
        <v>0.03625214124648211</v>
      </c>
      <c r="T107" s="5">
        <f t="shared" si="63"/>
        <v>281.9114182298913</v>
      </c>
      <c r="U107" s="4">
        <f t="shared" si="46"/>
        <v>282.1200280752465</v>
      </c>
      <c r="V107" s="4">
        <f t="shared" si="32"/>
        <v>0.000834718938104246</v>
      </c>
      <c r="W107" s="4">
        <f>SUMPRODUCT($J$4:J107,$S$251:S$354)</f>
        <v>0.19030241815825133</v>
      </c>
      <c r="X107" s="6">
        <f t="shared" si="64"/>
        <v>0.04035509647003954</v>
      </c>
      <c r="Y107" s="4">
        <f t="shared" si="47"/>
        <v>1853</v>
      </c>
      <c r="Z107" s="4">
        <f t="shared" si="54"/>
        <v>103</v>
      </c>
      <c r="AA107" s="21">
        <f t="shared" si="48"/>
        <v>38.11</v>
      </c>
      <c r="AB107" s="6">
        <f t="shared" si="65"/>
        <v>144.4453745</v>
      </c>
      <c r="AC107" s="24">
        <f t="shared" si="33"/>
        <v>141.0687686844581</v>
      </c>
      <c r="AD107" s="4">
        <f t="shared" si="34"/>
        <v>6.168788439598677</v>
      </c>
      <c r="AE107" s="4">
        <f t="shared" si="35"/>
        <v>3.3766058155419216</v>
      </c>
      <c r="AF107" s="6">
        <f t="shared" si="83"/>
        <v>870.2233894491048</v>
      </c>
      <c r="AG107" s="30">
        <f t="shared" si="66"/>
        <v>0.08122324170126911</v>
      </c>
      <c r="AH107" s="27">
        <v>0</v>
      </c>
      <c r="AI107" s="47">
        <f t="shared" si="67"/>
        <v>1.975</v>
      </c>
      <c r="AJ107" s="4">
        <f t="shared" si="36"/>
        <v>2.0720321703245808</v>
      </c>
      <c r="AK107" s="4">
        <f t="shared" si="68"/>
        <v>123.69960739219069</v>
      </c>
      <c r="AL107" s="4">
        <f t="shared" si="37"/>
        <v>-0.09703217032458067</v>
      </c>
      <c r="AM107" s="5">
        <f t="shared" si="56"/>
        <v>256.3095659731394</v>
      </c>
      <c r="AN107" s="26">
        <f t="shared" si="69"/>
        <v>-0.05793017862911568</v>
      </c>
      <c r="AO107" s="4">
        <f t="shared" si="38"/>
        <v>1.4125099697590522</v>
      </c>
      <c r="AP107" s="21">
        <f t="shared" si="78"/>
        <v>0.6000000000000001</v>
      </c>
      <c r="AQ107" s="21">
        <f t="shared" si="79"/>
        <v>55.7</v>
      </c>
      <c r="AR107" s="21">
        <f t="shared" si="80"/>
        <v>8.74</v>
      </c>
      <c r="AS107" s="35">
        <f t="shared" si="39"/>
        <v>0.16210638600941502</v>
      </c>
      <c r="AT107" s="36">
        <f t="shared" si="71"/>
        <v>0.3453682422500469</v>
      </c>
      <c r="AU107" s="4">
        <f t="shared" si="72"/>
        <v>25.482991652343017</v>
      </c>
      <c r="AV107" s="4">
        <f t="shared" si="73"/>
        <v>0.02028564939840672</v>
      </c>
      <c r="AW107" s="4">
        <f t="shared" si="74"/>
        <v>0.0040611620850634555</v>
      </c>
      <c r="AX107" s="21">
        <f t="shared" si="84"/>
        <v>0.705</v>
      </c>
      <c r="AY107" s="36">
        <f t="shared" si="75"/>
        <v>-0.0041592920353982306</v>
      </c>
      <c r="AZ107" s="36">
        <f t="shared" si="76"/>
        <v>-0.013857688706772038</v>
      </c>
      <c r="BA107" s="36">
        <f t="shared" si="77"/>
        <v>-0.006402298850574713</v>
      </c>
      <c r="BB107" s="6">
        <f t="shared" si="50"/>
        <v>0.06357569143291816</v>
      </c>
      <c r="BC107" s="6">
        <f t="shared" si="57"/>
        <v>-0.0013306200733364526</v>
      </c>
      <c r="BD107" s="4">
        <f t="shared" si="51"/>
        <v>0.8345750795314245</v>
      </c>
      <c r="BE107" s="4">
        <f>SUMPRODUCT(BC$4:BC107,$BD$251:BD$354)</f>
        <v>0.03199323655631542</v>
      </c>
      <c r="BF107" s="23">
        <f t="shared" si="59"/>
        <v>0.03199323655631542</v>
      </c>
      <c r="BG107" s="48"/>
    </row>
    <row r="108" spans="3:59" ht="15">
      <c r="C108" s="48"/>
      <c r="E108" s="1">
        <f t="shared" si="52"/>
        <v>104</v>
      </c>
      <c r="F108" s="1">
        <f t="shared" si="40"/>
        <v>1854</v>
      </c>
      <c r="G108" s="3">
        <f t="shared" si="81"/>
        <v>0.018</v>
      </c>
      <c r="H108" s="3">
        <f t="shared" si="82"/>
        <v>0.09440000000000005</v>
      </c>
      <c r="I108" s="5">
        <f t="shared" si="41"/>
        <v>0.02436488081674082</v>
      </c>
      <c r="J108" s="5">
        <f t="shared" si="53"/>
        <v>0.024291964993714322</v>
      </c>
      <c r="K108" s="4">
        <f t="shared" si="42"/>
        <v>0.06374315418954492</v>
      </c>
      <c r="L108" s="4">
        <f t="shared" si="43"/>
        <v>0.00025058196382170386</v>
      </c>
      <c r="M108" s="4">
        <f t="shared" si="60"/>
        <v>0.13355887664713187</v>
      </c>
      <c r="N108" s="4">
        <f t="shared" si="44"/>
        <v>3.346744559605901E-05</v>
      </c>
      <c r="O108" s="4">
        <f>SUMPRODUCT($M$4:M108,L$250:$L$354)</f>
        <v>0.0818322346731911</v>
      </c>
      <c r="P108" s="4">
        <f t="shared" si="45"/>
        <v>0.051726641973940765</v>
      </c>
      <c r="Q108" s="4">
        <f t="shared" si="61"/>
        <v>1.207000972628025</v>
      </c>
      <c r="R108" s="4">
        <f t="shared" si="62"/>
        <v>1.5787251385303895</v>
      </c>
      <c r="S108" s="4">
        <f t="shared" si="58"/>
        <v>0.03632035165339272</v>
      </c>
      <c r="T108" s="5">
        <f t="shared" si="63"/>
        <v>281.96004750922316</v>
      </c>
      <c r="U108" s="4">
        <f t="shared" si="46"/>
        <v>282.1801327120662</v>
      </c>
      <c r="V108" s="4">
        <f t="shared" si="32"/>
        <v>0.0008822927109236101</v>
      </c>
      <c r="W108" s="4">
        <f>SUMPRODUCT($J$4:J108,$S$250:S$354)</f>
        <v>0.19392784648135825</v>
      </c>
      <c r="X108" s="6">
        <f t="shared" si="64"/>
        <v>0.041494772942053164</v>
      </c>
      <c r="Y108" s="4">
        <f t="shared" si="47"/>
        <v>1854</v>
      </c>
      <c r="Z108" s="4">
        <f t="shared" si="54"/>
        <v>104</v>
      </c>
      <c r="AA108" s="21">
        <f t="shared" si="48"/>
        <v>38.48</v>
      </c>
      <c r="AB108" s="6">
        <f t="shared" si="65"/>
        <v>144.8153745</v>
      </c>
      <c r="AC108" s="24">
        <f t="shared" si="33"/>
        <v>141.407453770047</v>
      </c>
      <c r="AD108" s="4">
        <f t="shared" si="34"/>
        <v>6.177892126431125</v>
      </c>
      <c r="AE108" s="4">
        <f t="shared" si="35"/>
        <v>3.4079207299529912</v>
      </c>
      <c r="AF108" s="6">
        <f t="shared" si="83"/>
        <v>873.5999952646467</v>
      </c>
      <c r="AG108" s="30">
        <f t="shared" si="66"/>
        <v>0.08328158031796375</v>
      </c>
      <c r="AH108" s="27">
        <v>0</v>
      </c>
      <c r="AI108" s="47">
        <f t="shared" si="67"/>
        <v>1.975</v>
      </c>
      <c r="AJ108" s="4">
        <f t="shared" si="36"/>
        <v>2.0712477525534156</v>
      </c>
      <c r="AK108" s="4">
        <f t="shared" si="68"/>
        <v>123.69960739219069</v>
      </c>
      <c r="AL108" s="4">
        <f t="shared" si="37"/>
        <v>-0.09624775255341556</v>
      </c>
      <c r="AM108" s="5">
        <f t="shared" si="56"/>
        <v>256.21253380281485</v>
      </c>
      <c r="AN108" s="26">
        <f t="shared" si="69"/>
        <v>-0.0582938638870317</v>
      </c>
      <c r="AO108" s="4">
        <f t="shared" si="38"/>
        <v>1.4102215134693952</v>
      </c>
      <c r="AP108" s="21">
        <f t="shared" si="78"/>
        <v>0.8</v>
      </c>
      <c r="AQ108" s="21">
        <f t="shared" si="79"/>
        <v>57.6</v>
      </c>
      <c r="AR108" s="21">
        <f t="shared" si="80"/>
        <v>9.32</v>
      </c>
      <c r="AS108" s="35">
        <f t="shared" si="39"/>
        <v>0.16186750748231093</v>
      </c>
      <c r="AT108" s="36">
        <f t="shared" si="71"/>
        <v>0.3437467938022332</v>
      </c>
      <c r="AU108" s="4">
        <f t="shared" si="72"/>
        <v>25.531358909340106</v>
      </c>
      <c r="AV108" s="4">
        <f t="shared" si="73"/>
        <v>0.022317074192284465</v>
      </c>
      <c r="AW108" s="4">
        <f t="shared" si="74"/>
        <v>0.0041640790158981875</v>
      </c>
      <c r="AX108" s="21">
        <f t="shared" si="84"/>
        <v>0.94</v>
      </c>
      <c r="AY108" s="36">
        <f t="shared" si="75"/>
        <v>-0.005545722713864307</v>
      </c>
      <c r="AZ108" s="36">
        <f t="shared" si="76"/>
        <v>-0.01842612571561026</v>
      </c>
      <c r="BA108" s="36">
        <f t="shared" si="77"/>
        <v>-0.0066206896551724145</v>
      </c>
      <c r="BB108" s="6">
        <f t="shared" si="50"/>
        <v>0.062371104496520884</v>
      </c>
      <c r="BC108" s="6">
        <f t="shared" si="57"/>
        <v>-0.0012045869363972797</v>
      </c>
      <c r="BD108" s="4">
        <f t="shared" si="51"/>
        <v>0.8341986844885755</v>
      </c>
      <c r="BE108" s="4">
        <f>SUMPRODUCT(BC$4:BC108,$BD$250:BD$354)</f>
        <v>0.03372079384764409</v>
      </c>
      <c r="BF108" s="23">
        <f t="shared" si="59"/>
        <v>0.03372079384764409</v>
      </c>
      <c r="BG108" s="48"/>
    </row>
    <row r="109" spans="5:59" ht="15">
      <c r="E109" s="1">
        <f t="shared" si="52"/>
        <v>105</v>
      </c>
      <c r="F109" s="1">
        <f t="shared" si="40"/>
        <v>1855</v>
      </c>
      <c r="G109" s="3">
        <f t="shared" si="81"/>
        <v>0.0225</v>
      </c>
      <c r="H109" s="3">
        <f t="shared" si="82"/>
        <v>0.09550000000000006</v>
      </c>
      <c r="I109" s="5">
        <f t="shared" si="41"/>
        <v>0.025128154766233153</v>
      </c>
      <c r="J109" s="5">
        <f t="shared" si="53"/>
        <v>0.02571700790003391</v>
      </c>
      <c r="K109" s="4">
        <f t="shared" si="42"/>
        <v>0.067154837333733</v>
      </c>
      <c r="L109" s="4">
        <f t="shared" si="43"/>
        <v>0.0002531028712568021</v>
      </c>
      <c r="M109" s="4">
        <f t="shared" si="60"/>
        <v>0.13744835371801176</v>
      </c>
      <c r="N109" s="4">
        <f t="shared" si="44"/>
        <v>3.478857297554933E-05</v>
      </c>
      <c r="O109" s="4">
        <f>SUMPRODUCT($M$4:M109,L$249:$L$354)</f>
        <v>0.08410128114929877</v>
      </c>
      <c r="P109" s="4">
        <f t="shared" si="45"/>
        <v>0.05334707256871299</v>
      </c>
      <c r="Q109" s="4">
        <f t="shared" si="61"/>
        <v>1.2299954019922612</v>
      </c>
      <c r="R109" s="4">
        <f t="shared" si="62"/>
        <v>1.6089091459050042</v>
      </c>
      <c r="S109" s="4">
        <f t="shared" si="58"/>
        <v>0.036389014380602755</v>
      </c>
      <c r="T109" s="5">
        <f t="shared" si="63"/>
        <v>282.0108797746814</v>
      </c>
      <c r="U109" s="4">
        <f t="shared" si="46"/>
        <v>282.24387586625573</v>
      </c>
      <c r="V109" s="4">
        <f t="shared" si="32"/>
        <v>0.0009358165703004086</v>
      </c>
      <c r="W109" s="4">
        <f>SUMPRODUCT($J$4:J109,$S$249:S$354)</f>
        <v>0.19806032695578957</v>
      </c>
      <c r="X109" s="6">
        <f t="shared" si="64"/>
        <v>0.042703176097059405</v>
      </c>
      <c r="Y109" s="4">
        <f t="shared" si="47"/>
        <v>1855</v>
      </c>
      <c r="Z109" s="4">
        <f t="shared" si="54"/>
        <v>105</v>
      </c>
      <c r="AA109" s="21">
        <f t="shared" si="48"/>
        <v>38.85</v>
      </c>
      <c r="AB109" s="6">
        <f t="shared" si="65"/>
        <v>145.1853745</v>
      </c>
      <c r="AC109" s="24">
        <f t="shared" si="33"/>
        <v>141.74906990490652</v>
      </c>
      <c r="AD109" s="4">
        <f t="shared" si="34"/>
        <v>6.187045294780045</v>
      </c>
      <c r="AE109" s="4">
        <f t="shared" si="35"/>
        <v>3.4363045950934747</v>
      </c>
      <c r="AF109" s="6">
        <f t="shared" si="83"/>
        <v>877.0079159945997</v>
      </c>
      <c r="AG109" s="30">
        <f t="shared" si="66"/>
        <v>0.08535497867262937</v>
      </c>
      <c r="AH109" s="27">
        <v>0</v>
      </c>
      <c r="AI109" s="47">
        <f t="shared" si="67"/>
        <v>1.975</v>
      </c>
      <c r="AJ109" s="4">
        <f t="shared" si="36"/>
        <v>2.0704696760939787</v>
      </c>
      <c r="AK109" s="4">
        <f t="shared" si="68"/>
        <v>123.69960739219069</v>
      </c>
      <c r="AL109" s="4">
        <f t="shared" si="37"/>
        <v>-0.0954696760939786</v>
      </c>
      <c r="AM109" s="5">
        <f t="shared" si="56"/>
        <v>256.1162860502614</v>
      </c>
      <c r="AN109" s="26">
        <f t="shared" si="69"/>
        <v>-0.05865467711742738</v>
      </c>
      <c r="AO109" s="4">
        <f t="shared" si="38"/>
        <v>1.4079274081967823</v>
      </c>
      <c r="AP109" s="21">
        <f t="shared" si="78"/>
        <v>1</v>
      </c>
      <c r="AQ109" s="21">
        <f t="shared" si="79"/>
        <v>59.5</v>
      </c>
      <c r="AR109" s="21">
        <f t="shared" si="80"/>
        <v>9.9</v>
      </c>
      <c r="AS109" s="35">
        <f t="shared" si="39"/>
        <v>0.1616280392910152</v>
      </c>
      <c r="AT109" s="36">
        <f t="shared" si="71"/>
        <v>0.3421186997283377</v>
      </c>
      <c r="AU109" s="4">
        <f t="shared" si="72"/>
        <v>25.579830004244723</v>
      </c>
      <c r="AV109" s="4">
        <f t="shared" si="73"/>
        <v>0.02435286017827837</v>
      </c>
      <c r="AW109" s="4">
        <f t="shared" si="74"/>
        <v>0.004267748933631468</v>
      </c>
      <c r="AX109" s="21">
        <f t="shared" si="84"/>
        <v>1.1749999999999998</v>
      </c>
      <c r="AY109" s="36">
        <f t="shared" si="75"/>
        <v>-0.006932153392330383</v>
      </c>
      <c r="AZ109" s="36">
        <f t="shared" si="76"/>
        <v>-0.022969628902427132</v>
      </c>
      <c r="BA109" s="36">
        <f t="shared" si="77"/>
        <v>-0.006839080459770115</v>
      </c>
      <c r="BB109" s="6">
        <f t="shared" si="50"/>
        <v>0.061283224009643596</v>
      </c>
      <c r="BC109" s="6">
        <f t="shared" si="57"/>
        <v>-0.0010878804868772879</v>
      </c>
      <c r="BD109" s="4">
        <f t="shared" si="51"/>
        <v>0.8338214329032738</v>
      </c>
      <c r="BE109" s="4">
        <f>SUMPRODUCT(BC$4:BC109,$BD$249:BD$354)</f>
        <v>0.03527822650659774</v>
      </c>
      <c r="BF109" s="23">
        <f t="shared" si="59"/>
        <v>0.03527822650659774</v>
      </c>
      <c r="BG109" s="48"/>
    </row>
    <row r="110" spans="5:59" ht="15">
      <c r="E110" s="1">
        <f t="shared" si="52"/>
        <v>106</v>
      </c>
      <c r="F110" s="1">
        <f t="shared" si="40"/>
        <v>1856</v>
      </c>
      <c r="G110" s="3">
        <f t="shared" si="81"/>
        <v>0.026999999999999996</v>
      </c>
      <c r="H110" s="3">
        <f t="shared" si="82"/>
        <v>0.09660000000000006</v>
      </c>
      <c r="I110" s="5">
        <f t="shared" si="41"/>
        <v>0.02594658236016283</v>
      </c>
      <c r="J110" s="5">
        <f t="shared" si="53"/>
        <v>0.027274806304972938</v>
      </c>
      <c r="K110" s="4">
        <f t="shared" si="42"/>
        <v>0.0703786113348643</v>
      </c>
      <c r="L110" s="4">
        <f t="shared" si="43"/>
        <v>0.0002556492432734816</v>
      </c>
      <c r="M110" s="4">
        <f t="shared" si="60"/>
        <v>0.14154505464429773</v>
      </c>
      <c r="N110" s="4">
        <f t="shared" si="44"/>
        <v>3.618588610891832E-05</v>
      </c>
      <c r="O110" s="4">
        <f>SUMPRODUCT($M$4:M110,L$248:$L$354)</f>
        <v>0.08646046029367203</v>
      </c>
      <c r="P110" s="4">
        <f t="shared" si="45"/>
        <v>0.055084594350625696</v>
      </c>
      <c r="Q110" s="4">
        <f t="shared" si="61"/>
        <v>1.2562058306367205</v>
      </c>
      <c r="R110" s="4">
        <f t="shared" si="62"/>
        <v>1.6433196217123647</v>
      </c>
      <c r="S110" s="4">
        <f t="shared" si="58"/>
        <v>0.03645813371316295</v>
      </c>
      <c r="T110" s="5">
        <f t="shared" si="63"/>
        <v>282.06392095846644</v>
      </c>
      <c r="U110" s="4">
        <f t="shared" si="46"/>
        <v>282.3110307035895</v>
      </c>
      <c r="V110" s="4">
        <f t="shared" si="32"/>
        <v>0.0009943885352673232</v>
      </c>
      <c r="W110" s="4">
        <f>SUMPRODUCT($J$4:J110,$S$248:S$354)</f>
        <v>0.20268813649635237</v>
      </c>
      <c r="X110" s="6">
        <f t="shared" si="64"/>
        <v>0.04397596064732827</v>
      </c>
      <c r="Y110" s="4">
        <f t="shared" si="47"/>
        <v>1856</v>
      </c>
      <c r="Z110" s="4">
        <f t="shared" si="54"/>
        <v>106</v>
      </c>
      <c r="AA110" s="21">
        <f t="shared" si="48"/>
        <v>39.22</v>
      </c>
      <c r="AB110" s="6">
        <f t="shared" si="65"/>
        <v>145.5553745</v>
      </c>
      <c r="AC110" s="24">
        <f t="shared" si="33"/>
        <v>142.09326918546648</v>
      </c>
      <c r="AD110" s="4">
        <f t="shared" si="34"/>
        <v>6.196241564690148</v>
      </c>
      <c r="AE110" s="4">
        <f t="shared" si="35"/>
        <v>3.4621053145335168</v>
      </c>
      <c r="AF110" s="6">
        <f t="shared" si="83"/>
        <v>880.4442205896931</v>
      </c>
      <c r="AG110" s="30">
        <f t="shared" si="66"/>
        <v>0.08744157102028267</v>
      </c>
      <c r="AH110" s="27">
        <v>0</v>
      </c>
      <c r="AI110" s="47">
        <f t="shared" si="67"/>
        <v>1.975</v>
      </c>
      <c r="AJ110" s="4">
        <f t="shared" si="36"/>
        <v>2.0696978896824727</v>
      </c>
      <c r="AK110" s="4">
        <f t="shared" si="68"/>
        <v>123.69960739219069</v>
      </c>
      <c r="AL110" s="4">
        <f t="shared" si="37"/>
        <v>-0.09469788968247261</v>
      </c>
      <c r="AM110" s="5">
        <f t="shared" si="56"/>
        <v>256.02081637416745</v>
      </c>
      <c r="AN110" s="26">
        <f t="shared" si="69"/>
        <v>-0.059012640480154914</v>
      </c>
      <c r="AO110" s="4">
        <f t="shared" si="38"/>
        <v>1.4056293258732135</v>
      </c>
      <c r="AP110" s="21">
        <f t="shared" si="78"/>
        <v>1.2000000000000002</v>
      </c>
      <c r="AQ110" s="21">
        <f t="shared" si="79"/>
        <v>61.4</v>
      </c>
      <c r="AR110" s="21">
        <f t="shared" si="80"/>
        <v>10.48</v>
      </c>
      <c r="AS110" s="35">
        <f t="shared" si="39"/>
        <v>0.16138815595870115</v>
      </c>
      <c r="AT110" s="36">
        <f t="shared" si="71"/>
        <v>0.3404851212710124</v>
      </c>
      <c r="AU110" s="4">
        <f t="shared" si="72"/>
        <v>25.62838679264043</v>
      </c>
      <c r="AV110" s="4">
        <f t="shared" si="73"/>
        <v>0.02639224529089808</v>
      </c>
      <c r="AW110" s="4">
        <f t="shared" si="74"/>
        <v>0.004372078551014134</v>
      </c>
      <c r="AX110" s="21">
        <f t="shared" si="84"/>
        <v>1.41</v>
      </c>
      <c r="AY110" s="36">
        <f t="shared" si="75"/>
        <v>-0.008318584070796461</v>
      </c>
      <c r="AZ110" s="36">
        <f t="shared" si="76"/>
        <v>-0.0274884689603719</v>
      </c>
      <c r="BA110" s="36">
        <f t="shared" si="77"/>
        <v>-0.007057471264367817</v>
      </c>
      <c r="BB110" s="6">
        <f t="shared" si="50"/>
        <v>0.06030469073383206</v>
      </c>
      <c r="BC110" s="6">
        <f t="shared" si="57"/>
        <v>-0.000978533275811537</v>
      </c>
      <c r="BD110" s="4">
        <f t="shared" si="51"/>
        <v>0.8334433228175329</v>
      </c>
      <c r="BE110" s="4">
        <f>SUMPRODUCT(BC$4:BC110,$BD$248:BD$354)</f>
        <v>0.03668252335818785</v>
      </c>
      <c r="BF110" s="23">
        <f t="shared" si="59"/>
        <v>0.03668252335818785</v>
      </c>
      <c r="BG110" s="48"/>
    </row>
    <row r="111" spans="5:59" ht="15">
      <c r="E111" s="1">
        <f t="shared" si="52"/>
        <v>107</v>
      </c>
      <c r="F111" s="1">
        <f t="shared" si="40"/>
        <v>1857</v>
      </c>
      <c r="G111" s="3">
        <f t="shared" si="81"/>
        <v>0.0315</v>
      </c>
      <c r="H111" s="3">
        <f t="shared" si="82"/>
        <v>0.09770000000000006</v>
      </c>
      <c r="I111" s="5">
        <f t="shared" si="41"/>
        <v>0.02680975263324566</v>
      </c>
      <c r="J111" s="5">
        <f t="shared" si="53"/>
        <v>0.028932856089358496</v>
      </c>
      <c r="K111" s="4">
        <f t="shared" si="42"/>
        <v>0.07345739127739591</v>
      </c>
      <c r="L111" s="4">
        <f t="shared" si="43"/>
        <v>0.0002582213424110974</v>
      </c>
      <c r="M111" s="4">
        <f t="shared" si="60"/>
        <v>0.14583737240021538</v>
      </c>
      <c r="N111" s="4">
        <f t="shared" si="44"/>
        <v>3.765832207489074E-05</v>
      </c>
      <c r="O111" s="4">
        <f>SUMPRODUCT($M$4:M111,L$247:$L$354)</f>
        <v>0.08892026755983484</v>
      </c>
      <c r="P111" s="4">
        <f t="shared" si="45"/>
        <v>0.05691710484038054</v>
      </c>
      <c r="Q111" s="4">
        <f t="shared" si="61"/>
        <v>1.285557904407804</v>
      </c>
      <c r="R111" s="4">
        <f t="shared" si="62"/>
        <v>1.6818608621722158</v>
      </c>
      <c r="S111" s="4">
        <f t="shared" si="58"/>
        <v>0.036527713989772836</v>
      </c>
      <c r="T111" s="5">
        <f t="shared" si="63"/>
        <v>282.1192776387548</v>
      </c>
      <c r="U111" s="4">
        <f t="shared" si="46"/>
        <v>282.3814093149244</v>
      </c>
      <c r="V111" s="4">
        <f t="shared" si="32"/>
        <v>0.0010568510921393445</v>
      </c>
      <c r="W111" s="4">
        <f>SUMPRODUCT($J$4:J111,$S$247:S$354)</f>
        <v>0.20778750204417817</v>
      </c>
      <c r="X111" s="6">
        <f t="shared" si="64"/>
        <v>0.045309520461158666</v>
      </c>
      <c r="Y111" s="4">
        <f t="shared" si="47"/>
        <v>1857</v>
      </c>
      <c r="Z111" s="4">
        <f t="shared" si="54"/>
        <v>107</v>
      </c>
      <c r="AA111" s="21">
        <f t="shared" si="48"/>
        <v>39.589999999999996</v>
      </c>
      <c r="AB111" s="6">
        <f t="shared" si="65"/>
        <v>145.9253745</v>
      </c>
      <c r="AC111" s="24">
        <f t="shared" si="33"/>
        <v>142.43974539081088</v>
      </c>
      <c r="AD111" s="4">
        <f t="shared" si="34"/>
        <v>6.205475329087814</v>
      </c>
      <c r="AE111" s="4">
        <f t="shared" si="35"/>
        <v>3.4856291091891194</v>
      </c>
      <c r="AF111" s="6">
        <f t="shared" si="83"/>
        <v>883.9063259042266</v>
      </c>
      <c r="AG111" s="30">
        <f t="shared" si="66"/>
        <v>0.08953971626204321</v>
      </c>
      <c r="AH111" s="27">
        <v>0</v>
      </c>
      <c r="AI111" s="47">
        <f t="shared" si="67"/>
        <v>1.975</v>
      </c>
      <c r="AJ111" s="4">
        <f t="shared" si="36"/>
        <v>2.0689323424695196</v>
      </c>
      <c r="AK111" s="4">
        <f t="shared" si="68"/>
        <v>123.69960739219069</v>
      </c>
      <c r="AL111" s="4">
        <f t="shared" si="37"/>
        <v>-0.09393234246951954</v>
      </c>
      <c r="AM111" s="5">
        <f t="shared" si="56"/>
        <v>255.926118484485</v>
      </c>
      <c r="AN111" s="26">
        <f t="shared" si="69"/>
        <v>-0.059367775972088165</v>
      </c>
      <c r="AO111" s="4">
        <f t="shared" si="38"/>
        <v>1.40332872699203</v>
      </c>
      <c r="AP111" s="21">
        <f t="shared" si="78"/>
        <v>1.4000000000000001</v>
      </c>
      <c r="AQ111" s="21">
        <f t="shared" si="79"/>
        <v>63.3</v>
      </c>
      <c r="AR111" s="21">
        <f t="shared" si="80"/>
        <v>11.06</v>
      </c>
      <c r="AS111" s="35">
        <f t="shared" si="39"/>
        <v>0.1611480099377008</v>
      </c>
      <c r="AT111" s="36">
        <f t="shared" si="71"/>
        <v>0.338847076592311</v>
      </c>
      <c r="AU111" s="4">
        <f t="shared" si="72"/>
        <v>25.677013365745143</v>
      </c>
      <c r="AV111" s="4">
        <f t="shared" si="73"/>
        <v>0.028434561361296014</v>
      </c>
      <c r="AW111" s="4">
        <f t="shared" si="74"/>
        <v>0.00447698581310216</v>
      </c>
      <c r="AX111" s="21">
        <f t="shared" si="84"/>
        <v>1.645</v>
      </c>
      <c r="AY111" s="36">
        <f t="shared" si="75"/>
        <v>-0.009705014749262539</v>
      </c>
      <c r="AZ111" s="36">
        <f t="shared" si="76"/>
        <v>-0.031982912198226174</v>
      </c>
      <c r="BA111" s="36">
        <f t="shared" si="77"/>
        <v>-0.007275862068965517</v>
      </c>
      <c r="BB111" s="6">
        <f t="shared" si="50"/>
        <v>0.05942921890905766</v>
      </c>
      <c r="BC111" s="6">
        <f t="shared" si="57"/>
        <v>-0.0008754718247743973</v>
      </c>
      <c r="BD111" s="4">
        <f t="shared" si="51"/>
        <v>0.8330643522682574</v>
      </c>
      <c r="BE111" s="4">
        <f>SUMPRODUCT(BC$4:BC111,$BD$247:BD$354)</f>
        <v>0.037949183213735846</v>
      </c>
      <c r="BF111" s="23">
        <f t="shared" si="59"/>
        <v>0.037949183213735846</v>
      </c>
      <c r="BG111" s="48"/>
    </row>
    <row r="112" spans="5:59" ht="15">
      <c r="E112" s="1">
        <f t="shared" si="52"/>
        <v>108</v>
      </c>
      <c r="F112" s="1">
        <f t="shared" si="40"/>
        <v>1858</v>
      </c>
      <c r="G112" s="3">
        <f t="shared" si="81"/>
        <v>0.036</v>
      </c>
      <c r="H112" s="3">
        <f t="shared" si="82"/>
        <v>0.09880000000000007</v>
      </c>
      <c r="I112" s="5">
        <f t="shared" si="41"/>
        <v>0.027709997646333494</v>
      </c>
      <c r="J112" s="5">
        <f t="shared" si="53"/>
        <v>0.03067643153295376</v>
      </c>
      <c r="K112" s="4">
        <f t="shared" si="42"/>
        <v>0.07641357082071279</v>
      </c>
      <c r="L112" s="4">
        <f t="shared" si="43"/>
        <v>0.0002608194341867821</v>
      </c>
      <c r="M112" s="4">
        <f t="shared" si="60"/>
        <v>0.1503163208623734</v>
      </c>
      <c r="N112" s="4">
        <f t="shared" si="44"/>
        <v>3.920541775636302E-05</v>
      </c>
      <c r="O112" s="4">
        <f>SUMPRODUCT($M$4:M112,L$246:$L$354)</f>
        <v>0.09148799585920739</v>
      </c>
      <c r="P112" s="4">
        <f t="shared" si="45"/>
        <v>0.05882832500316601</v>
      </c>
      <c r="Q112" s="4">
        <f t="shared" si="61"/>
        <v>1.3179008416945666</v>
      </c>
      <c r="R112" s="4">
        <f t="shared" si="62"/>
        <v>1.724336945848431</v>
      </c>
      <c r="S112" s="4">
        <f t="shared" si="58"/>
        <v>0.036597759603580644</v>
      </c>
      <c r="T112" s="5">
        <f t="shared" si="63"/>
        <v>282.1769382365132</v>
      </c>
      <c r="U112" s="4">
        <f t="shared" si="46"/>
        <v>282.45486670620176</v>
      </c>
      <c r="V112" s="4">
        <f t="shared" si="32"/>
        <v>0.0011226886667387427</v>
      </c>
      <c r="W112" s="4">
        <f>SUMPRODUCT($J$4:J112,$S$246:S$354)</f>
        <v>0.21334313771388466</v>
      </c>
      <c r="X112" s="6">
        <f t="shared" si="64"/>
        <v>0.04670106368256084</v>
      </c>
      <c r="Y112" s="4">
        <f t="shared" si="47"/>
        <v>1858</v>
      </c>
      <c r="Z112" s="4">
        <f t="shared" si="54"/>
        <v>108</v>
      </c>
      <c r="AA112" s="21">
        <f t="shared" si="48"/>
        <v>39.96</v>
      </c>
      <c r="AB112" s="6">
        <f t="shared" si="65"/>
        <v>146.2953745</v>
      </c>
      <c r="AC112" s="24">
        <f t="shared" si="33"/>
        <v>142.7882289494103</v>
      </c>
      <c r="AD112" s="4">
        <f t="shared" si="34"/>
        <v>6.214741660027296</v>
      </c>
      <c r="AE112" s="4">
        <f t="shared" si="35"/>
        <v>3.507145550589712</v>
      </c>
      <c r="AF112" s="6">
        <f t="shared" si="83"/>
        <v>887.3919550134158</v>
      </c>
      <c r="AG112" s="30">
        <f t="shared" si="66"/>
        <v>0.091647970764091</v>
      </c>
      <c r="AH112" s="27">
        <v>0</v>
      </c>
      <c r="AI112" s="47">
        <f t="shared" si="67"/>
        <v>1.975</v>
      </c>
      <c r="AJ112" s="4">
        <f t="shared" si="36"/>
        <v>2.068172984016815</v>
      </c>
      <c r="AK112" s="4">
        <f t="shared" si="68"/>
        <v>123.69960739219069</v>
      </c>
      <c r="AL112" s="4">
        <f t="shared" si="37"/>
        <v>-0.09317298401681473</v>
      </c>
      <c r="AM112" s="5">
        <f t="shared" si="56"/>
        <v>255.83218614201547</v>
      </c>
      <c r="AN112" s="26">
        <f t="shared" si="69"/>
        <v>-0.05972010542819511</v>
      </c>
      <c r="AO112" s="4">
        <f t="shared" si="38"/>
        <v>1.401026886729981</v>
      </c>
      <c r="AP112" s="21">
        <f t="shared" si="78"/>
        <v>1.6</v>
      </c>
      <c r="AQ112" s="21">
        <f t="shared" si="79"/>
        <v>65.2</v>
      </c>
      <c r="AR112" s="21">
        <f t="shared" si="80"/>
        <v>11.64</v>
      </c>
      <c r="AS112" s="35">
        <f t="shared" si="39"/>
        <v>0.16090773433623431</v>
      </c>
      <c r="AT112" s="36">
        <f t="shared" si="71"/>
        <v>0.3372054582699245</v>
      </c>
      <c r="AU112" s="4">
        <f t="shared" si="72"/>
        <v>25.725695777032428</v>
      </c>
      <c r="AV112" s="4">
        <f t="shared" si="73"/>
        <v>0.030479222635361965</v>
      </c>
      <c r="AW112" s="4">
        <f t="shared" si="74"/>
        <v>0.00458239853820455</v>
      </c>
      <c r="AX112" s="21">
        <f t="shared" si="84"/>
        <v>1.88</v>
      </c>
      <c r="AY112" s="36">
        <f t="shared" si="75"/>
        <v>-0.011091445427728615</v>
      </c>
      <c r="AZ112" s="36">
        <f t="shared" si="76"/>
        <v>-0.036453220634579946</v>
      </c>
      <c r="BA112" s="36">
        <f t="shared" si="77"/>
        <v>-0.007494252873563219</v>
      </c>
      <c r="BB112" s="6">
        <f t="shared" si="50"/>
        <v>0.05865163125615147</v>
      </c>
      <c r="BC112" s="6">
        <f t="shared" si="57"/>
        <v>-0.0007775876529061906</v>
      </c>
      <c r="BD112" s="4">
        <f t="shared" si="51"/>
        <v>0.8326845192871853</v>
      </c>
      <c r="BE112" s="4">
        <f>SUMPRODUCT(BC$4:BC112,$BD$246:BD$354)</f>
        <v>0.039092366346503656</v>
      </c>
      <c r="BF112" s="23">
        <f t="shared" si="59"/>
        <v>0.039092366346503656</v>
      </c>
      <c r="BG112" s="48"/>
    </row>
    <row r="113" spans="5:59" ht="15">
      <c r="E113" s="1">
        <f t="shared" si="52"/>
        <v>109</v>
      </c>
      <c r="F113" s="1">
        <f t="shared" si="40"/>
        <v>1859</v>
      </c>
      <c r="G113" s="3">
        <f t="shared" si="81"/>
        <v>0.040499999999999994</v>
      </c>
      <c r="H113" s="3">
        <f t="shared" si="82"/>
        <v>0.09990000000000007</v>
      </c>
      <c r="I113" s="5">
        <f t="shared" si="41"/>
        <v>0.02864149403459337</v>
      </c>
      <c r="J113" s="5">
        <f t="shared" si="53"/>
        <v>0.03248721767054789</v>
      </c>
      <c r="K113" s="4">
        <f t="shared" si="42"/>
        <v>0.07927128829485883</v>
      </c>
      <c r="L113" s="4">
        <f t="shared" si="43"/>
        <v>0.0002634437871427635</v>
      </c>
      <c r="M113" s="4">
        <f t="shared" si="60"/>
        <v>0.15497428178612838</v>
      </c>
      <c r="N113" s="4">
        <f t="shared" si="44"/>
        <v>4.082701170346745E-05</v>
      </c>
      <c r="O113" s="4">
        <f>SUMPRODUCT($M$4:M113,L$245:$L$354)</f>
        <v>0.09416838995068665</v>
      </c>
      <c r="P113" s="4">
        <f t="shared" si="45"/>
        <v>0.06080589183544173</v>
      </c>
      <c r="Q113" s="4">
        <f t="shared" si="61"/>
        <v>1.353137691135578</v>
      </c>
      <c r="R113" s="4">
        <f t="shared" si="62"/>
        <v>1.7706227320618408</v>
      </c>
      <c r="S113" s="4">
        <f t="shared" si="58"/>
        <v>0.036668275002997984</v>
      </c>
      <c r="T113" s="5">
        <f t="shared" si="63"/>
        <v>282.2369460849273</v>
      </c>
      <c r="U113" s="4">
        <f t="shared" si="46"/>
        <v>282.53128027702246</v>
      </c>
      <c r="V113" s="4">
        <f t="shared" si="32"/>
        <v>0.0011912502316259056</v>
      </c>
      <c r="W113" s="4">
        <f>SUMPRODUCT($J$4:J113,$S$245:S$354)</f>
        <v>0.21933483548914293</v>
      </c>
      <c r="X113" s="6">
        <f t="shared" si="64"/>
        <v>0.04814822343529541</v>
      </c>
      <c r="Y113" s="4">
        <f t="shared" si="47"/>
        <v>1859</v>
      </c>
      <c r="Z113" s="4">
        <f t="shared" si="54"/>
        <v>109</v>
      </c>
      <c r="AA113" s="21">
        <f t="shared" si="48"/>
        <v>40.33</v>
      </c>
      <c r="AB113" s="6">
        <f t="shared" si="65"/>
        <v>146.66537449999998</v>
      </c>
      <c r="AC113" s="24">
        <f t="shared" si="33"/>
        <v>143.13848251671686</v>
      </c>
      <c r="AD113" s="4">
        <f t="shared" si="34"/>
        <v>6.2240362263164215</v>
      </c>
      <c r="AE113" s="4">
        <f t="shared" si="35"/>
        <v>3.5268919832831216</v>
      </c>
      <c r="AF113" s="6">
        <f t="shared" si="83"/>
        <v>890.8991005640055</v>
      </c>
      <c r="AG113" s="30">
        <f t="shared" si="66"/>
        <v>0.09376506447497143</v>
      </c>
      <c r="AH113" s="27">
        <v>0</v>
      </c>
      <c r="AI113" s="47">
        <f t="shared" si="67"/>
        <v>1.975</v>
      </c>
      <c r="AJ113" s="4">
        <f t="shared" si="36"/>
        <v>2.0674197642938017</v>
      </c>
      <c r="AK113" s="4">
        <f t="shared" si="68"/>
        <v>123.69960739219069</v>
      </c>
      <c r="AL113" s="4">
        <f t="shared" si="37"/>
        <v>-0.09241976429380161</v>
      </c>
      <c r="AM113" s="5">
        <f t="shared" si="56"/>
        <v>255.73901315799867</v>
      </c>
      <c r="AN113" s="26">
        <f t="shared" si="69"/>
        <v>-0.06006965052261364</v>
      </c>
      <c r="AO113" s="4">
        <f t="shared" si="38"/>
        <v>1.398724917859961</v>
      </c>
      <c r="AP113" s="21">
        <f t="shared" si="78"/>
        <v>1.8</v>
      </c>
      <c r="AQ113" s="21">
        <f t="shared" si="79"/>
        <v>67.1</v>
      </c>
      <c r="AR113" s="21">
        <f t="shared" si="80"/>
        <v>12.22</v>
      </c>
      <c r="AS113" s="35">
        <f t="shared" si="39"/>
        <v>0.1606674453101362</v>
      </c>
      <c r="AT113" s="36">
        <f t="shared" si="71"/>
        <v>0.3355610486583494</v>
      </c>
      <c r="AU113" s="4">
        <f t="shared" si="72"/>
        <v>25.774421802213293</v>
      </c>
      <c r="AV113" s="4">
        <f t="shared" si="73"/>
        <v>0.032525715692958326</v>
      </c>
      <c r="AW113" s="4">
        <f t="shared" si="74"/>
        <v>0.004688253223748572</v>
      </c>
      <c r="AX113" s="21">
        <f t="shared" si="84"/>
        <v>2.1149999999999998</v>
      </c>
      <c r="AY113" s="36">
        <f t="shared" si="75"/>
        <v>-0.01247787610619469</v>
      </c>
      <c r="AZ113" s="36">
        <f t="shared" si="76"/>
        <v>-0.04089965208949253</v>
      </c>
      <c r="BA113" s="36">
        <f t="shared" si="77"/>
        <v>-0.007712643678160919</v>
      </c>
      <c r="BB113" s="6">
        <f t="shared" si="50"/>
        <v>0.05796743443051195</v>
      </c>
      <c r="BC113" s="6">
        <f t="shared" si="57"/>
        <v>-0.0006841968256395201</v>
      </c>
      <c r="BD113" s="4">
        <f t="shared" si="51"/>
        <v>0.8323038219008251</v>
      </c>
      <c r="BE113" s="4">
        <f>SUMPRODUCT(BC$4:BC113,$BD$245:BD$354)</f>
        <v>0.040125037541966016</v>
      </c>
      <c r="BF113" s="23">
        <f t="shared" si="59"/>
        <v>0.040125037541966016</v>
      </c>
      <c r="BG113" s="48"/>
    </row>
    <row r="114" spans="5:59" ht="15">
      <c r="E114" s="1">
        <f t="shared" si="52"/>
        <v>110</v>
      </c>
      <c r="F114" s="1">
        <f t="shared" si="40"/>
        <v>1860</v>
      </c>
      <c r="G114" s="3">
        <f t="shared" si="81"/>
        <v>0.045</v>
      </c>
      <c r="H114" s="3">
        <f t="shared" si="82"/>
        <v>0.10100000000000008</v>
      </c>
      <c r="I114" s="5">
        <f t="shared" si="41"/>
        <v>0.029600017640786375</v>
      </c>
      <c r="J114" s="5">
        <f t="shared" si="53"/>
        <v>0.03435566252390281</v>
      </c>
      <c r="K114" s="4">
        <f t="shared" si="42"/>
        <v>0.08204431983531088</v>
      </c>
      <c r="L114" s="4">
        <f t="shared" si="43"/>
        <v>0.0002660946728950519</v>
      </c>
      <c r="M114" s="4">
        <f t="shared" si="60"/>
        <v>0.15980511014275803</v>
      </c>
      <c r="N114" s="4">
        <f t="shared" si="44"/>
        <v>4.2523288510394936E-05</v>
      </c>
      <c r="O114" s="4">
        <f>SUMPRODUCT($M$4:M114,L$244:$L$354)</f>
        <v>0.09696427269136855</v>
      </c>
      <c r="P114" s="4">
        <f t="shared" si="45"/>
        <v>0.06284083745138948</v>
      </c>
      <c r="Q114" s="4">
        <f t="shared" si="61"/>
        <v>1.391140282549923</v>
      </c>
      <c r="R114" s="4">
        <f t="shared" si="62"/>
        <v>1.8205521521931058</v>
      </c>
      <c r="S114" s="4">
        <f t="shared" si="58"/>
        <v>0.03673926469252956</v>
      </c>
      <c r="T114" s="5">
        <f t="shared" si="63"/>
        <v>282.2992892628508</v>
      </c>
      <c r="U114" s="4">
        <f t="shared" si="46"/>
        <v>282.61055156531734</v>
      </c>
      <c r="V114" s="4">
        <f t="shared" si="32"/>
        <v>0.0012622017791528836</v>
      </c>
      <c r="W114" s="4">
        <f>SUMPRODUCT($J$4:J114,$S$244:S$354)</f>
        <v>0.2257471766347264</v>
      </c>
      <c r="X114" s="6">
        <f t="shared" si="64"/>
        <v>0.04964909054957929</v>
      </c>
      <c r="Y114" s="4">
        <f t="shared" si="47"/>
        <v>1860</v>
      </c>
      <c r="Z114" s="4">
        <f t="shared" si="54"/>
        <v>110</v>
      </c>
      <c r="AA114" s="21">
        <f t="shared" si="48"/>
        <v>40.7</v>
      </c>
      <c r="AB114" s="6">
        <f t="shared" si="65"/>
        <v>147.0353745</v>
      </c>
      <c r="AC114" s="24">
        <f t="shared" si="33"/>
        <v>143.49029708947904</v>
      </c>
      <c r="AD114" s="4">
        <f t="shared" si="34"/>
        <v>6.233355221151531</v>
      </c>
      <c r="AE114" s="4">
        <f t="shared" si="35"/>
        <v>3.545077410520946</v>
      </c>
      <c r="AF114" s="6">
        <f t="shared" si="83"/>
        <v>894.4259925472886</v>
      </c>
      <c r="AG114" s="30">
        <f t="shared" si="66"/>
        <v>0.09588987994252261</v>
      </c>
      <c r="AH114" s="27">
        <v>0</v>
      </c>
      <c r="AI114" s="47">
        <f t="shared" si="67"/>
        <v>1.975</v>
      </c>
      <c r="AJ114" s="4">
        <f t="shared" si="36"/>
        <v>2.066672633674375</v>
      </c>
      <c r="AK114" s="4">
        <f t="shared" si="68"/>
        <v>123.69960739219069</v>
      </c>
      <c r="AL114" s="4">
        <f t="shared" si="37"/>
        <v>-0.09167263367437473</v>
      </c>
      <c r="AM114" s="5">
        <f t="shared" si="56"/>
        <v>255.64659339370488</v>
      </c>
      <c r="AN114" s="26">
        <f t="shared" si="69"/>
        <v>-0.06041643276971676</v>
      </c>
      <c r="AO114" s="4">
        <f t="shared" si="38"/>
        <v>1.3964237908421369</v>
      </c>
      <c r="AP114" s="21">
        <f t="shared" si="78"/>
        <v>2</v>
      </c>
      <c r="AQ114" s="21">
        <f t="shared" si="79"/>
        <v>69</v>
      </c>
      <c r="AR114" s="21">
        <f t="shared" si="80"/>
        <v>12.8</v>
      </c>
      <c r="AS114" s="35">
        <f t="shared" si="39"/>
        <v>0.16042724416005014</v>
      </c>
      <c r="AT114" s="36">
        <f t="shared" si="71"/>
        <v>0.3339145333724003</v>
      </c>
      <c r="AU114" s="4">
        <f t="shared" si="72"/>
        <v>25.823180728556245</v>
      </c>
      <c r="AV114" s="4">
        <f t="shared" si="73"/>
        <v>0.034573590599362304</v>
      </c>
      <c r="AW114" s="4">
        <f t="shared" si="74"/>
        <v>0.004794493997126131</v>
      </c>
      <c r="AX114" s="21">
        <f t="shared" si="84"/>
        <v>2.3499999999999996</v>
      </c>
      <c r="AY114" s="36">
        <f t="shared" si="75"/>
        <v>-0.013864306784660767</v>
      </c>
      <c r="AZ114" s="36">
        <f t="shared" si="76"/>
        <v>-0.04532246027371682</v>
      </c>
      <c r="BA114" s="36">
        <f t="shared" si="77"/>
        <v>-0.007931034482758621</v>
      </c>
      <c r="BB114" s="6">
        <f t="shared" si="50"/>
        <v>0.057372820777737366</v>
      </c>
      <c r="BC114" s="6">
        <f t="shared" si="57"/>
        <v>-0.0005946136527745852</v>
      </c>
      <c r="BD114" s="4">
        <f t="shared" si="51"/>
        <v>0.8319222581303907</v>
      </c>
      <c r="BE114" s="4">
        <f>SUMPRODUCT(BC$4:BC114,$BD$244:BD$354)</f>
        <v>0.04105907909735423</v>
      </c>
      <c r="BF114" s="23">
        <f t="shared" si="59"/>
        <v>0.04105907909735423</v>
      </c>
      <c r="BG114" s="48"/>
    </row>
    <row r="115" spans="5:59" ht="15">
      <c r="E115" s="1">
        <f t="shared" si="52"/>
        <v>111</v>
      </c>
      <c r="F115" s="1">
        <f t="shared" si="40"/>
        <v>1861</v>
      </c>
      <c r="G115" s="3">
        <f t="shared" si="81"/>
        <v>0.049499999999999995</v>
      </c>
      <c r="H115" s="3">
        <f t="shared" si="82"/>
        <v>0.10210000000000008</v>
      </c>
      <c r="I115" s="5">
        <f t="shared" si="41"/>
        <v>0.030582384473894577</v>
      </c>
      <c r="J115" s="5">
        <f t="shared" si="53"/>
        <v>0.03627074166650543</v>
      </c>
      <c r="K115" s="4">
        <f t="shared" si="42"/>
        <v>0.08474687385960006</v>
      </c>
      <c r="L115" s="4">
        <f t="shared" si="43"/>
        <v>0.0002687723661835519</v>
      </c>
      <c r="M115" s="4">
        <f t="shared" si="60"/>
        <v>0.1648035015504626</v>
      </c>
      <c r="N115" s="4">
        <f t="shared" si="44"/>
        <v>4.4294627067052505E-05</v>
      </c>
      <c r="O115" s="4">
        <f>SUMPRODUCT($M$4:M115,L$243:$L$354)</f>
        <v>0.09987709931238442</v>
      </c>
      <c r="P115" s="4">
        <f t="shared" si="45"/>
        <v>0.06492640223807819</v>
      </c>
      <c r="Q115" s="4">
        <f t="shared" si="61"/>
        <v>1.43181082197053</v>
      </c>
      <c r="R115" s="4">
        <f t="shared" si="62"/>
        <v>1.8739990943945002</v>
      </c>
      <c r="S115" s="4">
        <f t="shared" si="58"/>
        <v>0.03681073323361847</v>
      </c>
      <c r="T115" s="5">
        <f t="shared" si="63"/>
        <v>282.3639829656541</v>
      </c>
      <c r="U115" s="4">
        <f t="shared" si="46"/>
        <v>282.6925958851526</v>
      </c>
      <c r="V115" s="4">
        <f t="shared" si="32"/>
        <v>0.0013351525956712216</v>
      </c>
      <c r="W115" s="4">
        <f>SUMPRODUCT($J$4:J115,$S$243:S$354)</f>
        <v>0.23256293597242977</v>
      </c>
      <c r="X115" s="6">
        <f t="shared" si="64"/>
        <v>0.051202017032228514</v>
      </c>
      <c r="Y115" s="4">
        <f t="shared" si="47"/>
        <v>1861</v>
      </c>
      <c r="Z115" s="4">
        <f t="shared" si="54"/>
        <v>111</v>
      </c>
      <c r="AA115" s="21">
        <f t="shared" si="48"/>
        <v>41.07</v>
      </c>
      <c r="AB115" s="6">
        <f t="shared" si="65"/>
        <v>147.4053745</v>
      </c>
      <c r="AC115" s="24">
        <f t="shared" si="33"/>
        <v>143.84348859154696</v>
      </c>
      <c r="AD115" s="4">
        <f t="shared" si="34"/>
        <v>6.242695298552285</v>
      </c>
      <c r="AE115" s="4">
        <f t="shared" si="35"/>
        <v>3.5618859084530357</v>
      </c>
      <c r="AF115" s="6">
        <f t="shared" si="83"/>
        <v>897.9710699578095</v>
      </c>
      <c r="AG115" s="30">
        <f t="shared" si="66"/>
        <v>0.09802143387909268</v>
      </c>
      <c r="AH115" s="27">
        <v>0</v>
      </c>
      <c r="AI115" s="47">
        <f t="shared" si="67"/>
        <v>1.975</v>
      </c>
      <c r="AJ115" s="4">
        <f t="shared" si="36"/>
        <v>2.065931542933612</v>
      </c>
      <c r="AK115" s="4">
        <f t="shared" si="68"/>
        <v>123.69960739219069</v>
      </c>
      <c r="AL115" s="4">
        <f t="shared" si="37"/>
        <v>-0.09093154293361172</v>
      </c>
      <c r="AM115" s="5">
        <f t="shared" si="56"/>
        <v>255.5549207600305</v>
      </c>
      <c r="AN115" s="26">
        <f t="shared" si="69"/>
        <v>-0.06076047352517392</v>
      </c>
      <c r="AO115" s="4">
        <f t="shared" si="38"/>
        <v>1.3941243514363462</v>
      </c>
      <c r="AP115" s="21">
        <f t="shared" si="78"/>
        <v>2.2</v>
      </c>
      <c r="AQ115" s="21">
        <f t="shared" si="79"/>
        <v>70.9</v>
      </c>
      <c r="AR115" s="21">
        <f t="shared" si="80"/>
        <v>13.38</v>
      </c>
      <c r="AS115" s="35">
        <f t="shared" si="39"/>
        <v>0.1601872191698841</v>
      </c>
      <c r="AT115" s="36">
        <f t="shared" si="71"/>
        <v>0.33226651312047406</v>
      </c>
      <c r="AU115" s="4">
        <f t="shared" si="72"/>
        <v>25.871963169992593</v>
      </c>
      <c r="AV115" s="4">
        <f t="shared" si="73"/>
        <v>0.036622453139688926</v>
      </c>
      <c r="AW115" s="4">
        <f t="shared" si="74"/>
        <v>0.004901071693954634</v>
      </c>
      <c r="AX115" s="21">
        <f t="shared" si="84"/>
        <v>2.585</v>
      </c>
      <c r="AY115" s="36">
        <f t="shared" si="75"/>
        <v>-0.015250737463126843</v>
      </c>
      <c r="AZ115" s="36">
        <f t="shared" si="76"/>
        <v>-0.04972189487556827</v>
      </c>
      <c r="BA115" s="36">
        <f t="shared" si="77"/>
        <v>-0.008149425287356323</v>
      </c>
      <c r="BB115" s="6">
        <f t="shared" si="50"/>
        <v>0.056864444593739405</v>
      </c>
      <c r="BC115" s="6">
        <f t="shared" si="57"/>
        <v>-0.0005083761839979606</v>
      </c>
      <c r="BD115" s="4">
        <f t="shared" si="51"/>
        <v>0.8315398259917307</v>
      </c>
      <c r="BE115" s="4">
        <f>SUMPRODUCT(BC$4:BC115,$BD$243:BD$354)</f>
        <v>0.04190539635477211</v>
      </c>
      <c r="BF115" s="23">
        <f t="shared" si="59"/>
        <v>0.04190539635477211</v>
      </c>
      <c r="BG115" s="48"/>
    </row>
    <row r="116" spans="5:59" ht="15">
      <c r="E116" s="1">
        <f t="shared" si="52"/>
        <v>112</v>
      </c>
      <c r="F116" s="1">
        <f t="shared" si="40"/>
        <v>1862</v>
      </c>
      <c r="G116" s="3">
        <f t="shared" si="81"/>
        <v>0.05399999999999999</v>
      </c>
      <c r="H116" s="3">
        <f t="shared" si="82"/>
        <v>0.10320000000000008</v>
      </c>
      <c r="I116" s="5">
        <f t="shared" si="41"/>
        <v>0.03158626063595193</v>
      </c>
      <c r="J116" s="5">
        <f t="shared" si="53"/>
        <v>0.03822594376703525</v>
      </c>
      <c r="K116" s="4">
        <f t="shared" si="42"/>
        <v>0.08738779559701287</v>
      </c>
      <c r="L116" s="4">
        <f t="shared" si="43"/>
        <v>0.0002714771449236658</v>
      </c>
      <c r="M116" s="4">
        <f t="shared" si="60"/>
        <v>0.16996501794260882</v>
      </c>
      <c r="N116" s="4">
        <f t="shared" si="44"/>
        <v>4.614161780795907E-05</v>
      </c>
      <c r="O116" s="4">
        <f>SUMPRODUCT($M$4:M116,L$242:$L$354)</f>
        <v>0.10290738661248287</v>
      </c>
      <c r="P116" s="4">
        <f t="shared" si="45"/>
        <v>0.06705763133012595</v>
      </c>
      <c r="Q116" s="4">
        <f t="shared" si="61"/>
        <v>1.4750400579908807</v>
      </c>
      <c r="R116" s="4">
        <f t="shared" si="62"/>
        <v>1.93082243166712</v>
      </c>
      <c r="S116" s="4">
        <f t="shared" si="58"/>
        <v>0.036882685245507384</v>
      </c>
      <c r="T116" s="5">
        <f t="shared" si="63"/>
        <v>282.4310157084829</v>
      </c>
      <c r="U116" s="4">
        <f t="shared" si="46"/>
        <v>282.77734275901224</v>
      </c>
      <c r="V116" s="4">
        <f t="shared" si="32"/>
        <v>0.001409875452172026</v>
      </c>
      <c r="W116" s="4">
        <f>SUMPRODUCT($J$4:J116,$S$242:S$354)</f>
        <v>0.23976772384528022</v>
      </c>
      <c r="X116" s="6">
        <f t="shared" si="64"/>
        <v>0.052805624041402856</v>
      </c>
      <c r="Y116" s="4">
        <f t="shared" si="47"/>
        <v>1862</v>
      </c>
      <c r="Z116" s="4">
        <f t="shared" si="54"/>
        <v>112</v>
      </c>
      <c r="AA116" s="21">
        <f t="shared" si="48"/>
        <v>41.44</v>
      </c>
      <c r="AB116" s="6">
        <f t="shared" si="65"/>
        <v>147.7753745</v>
      </c>
      <c r="AC116" s="24">
        <f t="shared" si="33"/>
        <v>144.1978948738143</v>
      </c>
      <c r="AD116" s="4">
        <f t="shared" si="34"/>
        <v>6.252053517530074</v>
      </c>
      <c r="AE116" s="4">
        <f t="shared" si="35"/>
        <v>3.577479626185692</v>
      </c>
      <c r="AF116" s="6">
        <f t="shared" si="83"/>
        <v>901.5329558662626</v>
      </c>
      <c r="AG116" s="30">
        <f t="shared" si="66"/>
        <v>0.10015886096571158</v>
      </c>
      <c r="AH116" s="27">
        <v>0</v>
      </c>
      <c r="AI116" s="47">
        <f t="shared" si="67"/>
        <v>1.975</v>
      </c>
      <c r="AJ116" s="4">
        <f t="shared" si="36"/>
        <v>2.0651964432445293</v>
      </c>
      <c r="AK116" s="4">
        <f t="shared" si="68"/>
        <v>123.69960739219069</v>
      </c>
      <c r="AL116" s="4">
        <f t="shared" si="37"/>
        <v>-0.09019644324452925</v>
      </c>
      <c r="AM116" s="5">
        <f t="shared" si="56"/>
        <v>255.4639892170969</v>
      </c>
      <c r="AN116" s="26">
        <f t="shared" si="69"/>
        <v>-0.061101793987007436</v>
      </c>
      <c r="AO116" s="4">
        <f t="shared" si="38"/>
        <v>1.3918273361384415</v>
      </c>
      <c r="AP116" s="21">
        <f t="shared" si="78"/>
        <v>2.4000000000000004</v>
      </c>
      <c r="AQ116" s="21">
        <f t="shared" si="79"/>
        <v>72.8</v>
      </c>
      <c r="AR116" s="21">
        <f t="shared" si="80"/>
        <v>13.96</v>
      </c>
      <c r="AS116" s="35">
        <f t="shared" si="39"/>
        <v>0.15994744721811952</v>
      </c>
      <c r="AT116" s="36">
        <f t="shared" si="71"/>
        <v>0.33061751408818474</v>
      </c>
      <c r="AU116" s="4">
        <f t="shared" si="72"/>
        <v>25.92076090487211</v>
      </c>
      <c r="AV116" s="4">
        <f t="shared" si="73"/>
        <v>0.038671958004628665</v>
      </c>
      <c r="AW116" s="4">
        <f t="shared" si="74"/>
        <v>0.0050079430482855795</v>
      </c>
      <c r="AX116" s="21">
        <f t="shared" si="84"/>
        <v>2.82</v>
      </c>
      <c r="AY116" s="36">
        <f t="shared" si="75"/>
        <v>-0.016637168141592922</v>
      </c>
      <c r="AZ116" s="36">
        <f t="shared" si="76"/>
        <v>-0.054098201645508805</v>
      </c>
      <c r="BA116" s="36">
        <f t="shared" si="77"/>
        <v>-0.008367816091954023</v>
      </c>
      <c r="BB116" s="6">
        <f t="shared" si="50"/>
        <v>0.0564394061939655</v>
      </c>
      <c r="BC116" s="6">
        <f t="shared" si="57"/>
        <v>-0.00042503839977390406</v>
      </c>
      <c r="BD116" s="4">
        <f t="shared" si="51"/>
        <v>0.8311565234952548</v>
      </c>
      <c r="BE116" s="4">
        <f>SUMPRODUCT(BC$4:BC116,$BD$242:BD$354)</f>
        <v>0.0426740053794312</v>
      </c>
      <c r="BF116" s="23">
        <f t="shared" si="59"/>
        <v>0.0426740053794312</v>
      </c>
      <c r="BG116" s="48"/>
    </row>
    <row r="117" spans="5:59" ht="15">
      <c r="E117" s="1">
        <f t="shared" si="52"/>
        <v>113</v>
      </c>
      <c r="F117" s="1">
        <f t="shared" si="40"/>
        <v>1863</v>
      </c>
      <c r="G117" s="3">
        <f t="shared" si="81"/>
        <v>0.058499999999999996</v>
      </c>
      <c r="H117" s="3">
        <f t="shared" si="82"/>
        <v>0.10430000000000009</v>
      </c>
      <c r="I117" s="5">
        <f t="shared" si="41"/>
        <v>0.03260985269705046</v>
      </c>
      <c r="J117" s="5">
        <f t="shared" si="53"/>
        <v>0.040214286401326425</v>
      </c>
      <c r="K117" s="4">
        <f t="shared" si="42"/>
        <v>0.08997586090162318</v>
      </c>
      <c r="L117" s="4">
        <f t="shared" si="43"/>
        <v>0.0002742092902594488</v>
      </c>
      <c r="M117" s="4">
        <f t="shared" si="60"/>
        <v>0.1752857602393689</v>
      </c>
      <c r="N117" s="4">
        <f t="shared" si="44"/>
        <v>4.806498390782525E-05</v>
      </c>
      <c r="O117" s="4">
        <f>SUMPRODUCT($M$4:M117,L$241:$L$354)</f>
        <v>0.10605504296353076</v>
      </c>
      <c r="P117" s="4">
        <f t="shared" si="45"/>
        <v>0.06923071727583814</v>
      </c>
      <c r="Q117" s="4">
        <f t="shared" si="61"/>
        <v>1.5207367236153686</v>
      </c>
      <c r="R117" s="4">
        <f t="shared" si="62"/>
        <v>1.9909046977906006</v>
      </c>
      <c r="S117" s="4">
        <f t="shared" si="58"/>
        <v>0.03695512540611616</v>
      </c>
      <c r="T117" s="5">
        <f t="shared" si="63"/>
        <v>282.50038911981324</v>
      </c>
      <c r="U117" s="4">
        <f t="shared" si="46"/>
        <v>282.86473055460925</v>
      </c>
      <c r="V117" s="4">
        <f t="shared" si="32"/>
        <v>0.0014861239970784899</v>
      </c>
      <c r="W117" s="4">
        <f>SUMPRODUCT($J$4:J117,$S$241:S$354)</f>
        <v>0.2473467442064966</v>
      </c>
      <c r="X117" s="6">
        <f t="shared" si="64"/>
        <v>0.05445870019051241</v>
      </c>
      <c r="Y117" s="4">
        <f t="shared" si="47"/>
        <v>1863</v>
      </c>
      <c r="Z117" s="4">
        <f t="shared" si="54"/>
        <v>113</v>
      </c>
      <c r="AA117" s="21">
        <f t="shared" si="48"/>
        <v>41.81</v>
      </c>
      <c r="AB117" s="6">
        <f t="shared" si="65"/>
        <v>148.1453745</v>
      </c>
      <c r="AC117" s="24">
        <f t="shared" si="33"/>
        <v>144.5533730778876</v>
      </c>
      <c r="AD117" s="4">
        <f t="shared" si="34"/>
        <v>6.261427293050855</v>
      </c>
      <c r="AE117" s="4">
        <f t="shared" si="35"/>
        <v>3.5920014221123893</v>
      </c>
      <c r="AF117" s="6">
        <f t="shared" si="83"/>
        <v>905.1104354924482</v>
      </c>
      <c r="AG117" s="30">
        <f t="shared" si="66"/>
        <v>0.10230139962305201</v>
      </c>
      <c r="AH117" s="27">
        <v>0</v>
      </c>
      <c r="AI117" s="47">
        <f t="shared" si="67"/>
        <v>1.975</v>
      </c>
      <c r="AJ117" s="4">
        <f t="shared" si="36"/>
        <v>2.0644672861748665</v>
      </c>
      <c r="AK117" s="4">
        <f t="shared" si="68"/>
        <v>123.69960739219069</v>
      </c>
      <c r="AL117" s="4">
        <f t="shared" si="37"/>
        <v>-0.08946728617486643</v>
      </c>
      <c r="AM117" s="5">
        <f t="shared" si="56"/>
        <v>255.37379277385236</v>
      </c>
      <c r="AN117" s="26">
        <f t="shared" si="69"/>
        <v>-0.0614404151966432</v>
      </c>
      <c r="AO117" s="4">
        <f t="shared" si="38"/>
        <v>1.3895333857073724</v>
      </c>
      <c r="AP117" s="21">
        <f t="shared" si="78"/>
        <v>2.6</v>
      </c>
      <c r="AQ117" s="21">
        <f t="shared" si="79"/>
        <v>74.7</v>
      </c>
      <c r="AR117" s="21">
        <f t="shared" si="80"/>
        <v>14.54</v>
      </c>
      <c r="AS117" s="35">
        <f t="shared" si="39"/>
        <v>0.1597079951898242</v>
      </c>
      <c r="AT117" s="36">
        <f t="shared" si="71"/>
        <v>0.3289679970491419</v>
      </c>
      <c r="AU117" s="4">
        <f t="shared" si="72"/>
        <v>25.96956673360716</v>
      </c>
      <c r="AV117" s="4">
        <f t="shared" si="73"/>
        <v>0.040721802811500694</v>
      </c>
      <c r="AW117" s="4">
        <f t="shared" si="74"/>
        <v>0.005115069981152601</v>
      </c>
      <c r="AX117" s="21">
        <f t="shared" si="84"/>
        <v>3.0549999999999997</v>
      </c>
      <c r="AY117" s="36">
        <f t="shared" si="75"/>
        <v>-0.018023598820058998</v>
      </c>
      <c r="AZ117" s="36">
        <f t="shared" si="76"/>
        <v>-0.05845162247851908</v>
      </c>
      <c r="BA117" s="36">
        <f t="shared" si="77"/>
        <v>-0.008586206896551726</v>
      </c>
      <c r="BB117" s="6">
        <f t="shared" si="50"/>
        <v>0.05609512921444473</v>
      </c>
      <c r="BC117" s="6">
        <f t="shared" si="57"/>
        <v>-0.0003442769795207676</v>
      </c>
      <c r="BD117" s="4">
        <f t="shared" si="51"/>
        <v>0.8307723486458546</v>
      </c>
      <c r="BE117" s="4">
        <f>SUMPRODUCT(BC$4:BC117,$BD$241:BD$354)</f>
        <v>0.04337411400651519</v>
      </c>
      <c r="BF117" s="23">
        <f t="shared" si="59"/>
        <v>0.04337411400651519</v>
      </c>
      <c r="BG117" s="48"/>
    </row>
    <row r="118" spans="5:59" ht="15">
      <c r="E118" s="1">
        <f t="shared" si="52"/>
        <v>114</v>
      </c>
      <c r="F118" s="1">
        <f t="shared" si="40"/>
        <v>1864</v>
      </c>
      <c r="G118" s="3">
        <f t="shared" si="81"/>
        <v>0.063</v>
      </c>
      <c r="H118" s="3">
        <f t="shared" si="82"/>
        <v>0.10540000000000009</v>
      </c>
      <c r="I118" s="5">
        <f t="shared" si="41"/>
        <v>0.0336517956178492</v>
      </c>
      <c r="J118" s="5">
        <f t="shared" si="53"/>
        <v>0.04223119019220636</v>
      </c>
      <c r="K118" s="4">
        <f t="shared" si="42"/>
        <v>0.09251701418994454</v>
      </c>
      <c r="L118" s="4">
        <f t="shared" si="43"/>
        <v>0.00027696908661839026</v>
      </c>
      <c r="M118" s="4">
        <f t="shared" si="60"/>
        <v>0.18076236368050383</v>
      </c>
      <c r="N118" s="4">
        <f t="shared" si="44"/>
        <v>5.0065586763570426E-05</v>
      </c>
      <c r="O118" s="4">
        <f>SUMPRODUCT($M$4:M118,L$240:$L$354)</f>
        <v>0.10931960158380997</v>
      </c>
      <c r="P118" s="4">
        <f t="shared" si="45"/>
        <v>0.07144276209669385</v>
      </c>
      <c r="Q118" s="4">
        <f t="shared" si="61"/>
        <v>1.5688069743041884</v>
      </c>
      <c r="R118" s="4">
        <f t="shared" si="62"/>
        <v>2.054125053435405</v>
      </c>
      <c r="S118" s="4">
        <f t="shared" si="58"/>
        <v>0.03702805845293624</v>
      </c>
      <c r="T118" s="5">
        <f t="shared" si="63"/>
        <v>282.5720918323695</v>
      </c>
      <c r="U118" s="4">
        <f t="shared" si="46"/>
        <v>282.9547064155109</v>
      </c>
      <c r="V118" s="4">
        <f t="shared" si="32"/>
        <v>0.0015637389789740846</v>
      </c>
      <c r="W118" s="4">
        <f>SUMPRODUCT($J$4:J118,$S$240:S$354)</f>
        <v>0.25528700873160154</v>
      </c>
      <c r="X118" s="6">
        <f t="shared" si="64"/>
        <v>0.05616020009818209</v>
      </c>
      <c r="Y118" s="4">
        <f t="shared" si="47"/>
        <v>1864</v>
      </c>
      <c r="Z118" s="4">
        <f t="shared" si="54"/>
        <v>114</v>
      </c>
      <c r="AA118" s="21">
        <f t="shared" si="48"/>
        <v>42.18</v>
      </c>
      <c r="AB118" s="6">
        <f t="shared" si="65"/>
        <v>148.5153745</v>
      </c>
      <c r="AC118" s="24">
        <f t="shared" si="33"/>
        <v>144.9097973191911</v>
      </c>
      <c r="AD118" s="4">
        <f t="shared" si="34"/>
        <v>6.270814352965883</v>
      </c>
      <c r="AE118" s="4">
        <f t="shared" si="35"/>
        <v>3.6055771808088934</v>
      </c>
      <c r="AF118" s="6">
        <f t="shared" si="83"/>
        <v>908.7024369145606</v>
      </c>
      <c r="AG118" s="30">
        <f t="shared" si="66"/>
        <v>0.10444837950983808</v>
      </c>
      <c r="AH118" s="27">
        <v>0</v>
      </c>
      <c r="AI118" s="47">
        <f t="shared" si="67"/>
        <v>1.975</v>
      </c>
      <c r="AJ118" s="4">
        <f t="shared" si="36"/>
        <v>2.0637440236838933</v>
      </c>
      <c r="AK118" s="4">
        <f t="shared" si="68"/>
        <v>123.69960739219069</v>
      </c>
      <c r="AL118" s="4">
        <f t="shared" si="37"/>
        <v>-0.08874402368389323</v>
      </c>
      <c r="AM118" s="5">
        <f t="shared" si="56"/>
        <v>255.28432548767748</v>
      </c>
      <c r="AN118" s="26">
        <f t="shared" si="69"/>
        <v>-0.06177635803995599</v>
      </c>
      <c r="AO118" s="4">
        <f t="shared" si="38"/>
        <v>1.387243057017851</v>
      </c>
      <c r="AP118" s="21">
        <f t="shared" si="78"/>
        <v>2.8000000000000003</v>
      </c>
      <c r="AQ118" s="21">
        <f t="shared" si="79"/>
        <v>76.6</v>
      </c>
      <c r="AR118" s="21">
        <f t="shared" si="80"/>
        <v>15.120000000000001</v>
      </c>
      <c r="AS118" s="35">
        <f t="shared" si="39"/>
        <v>0.1594689212138825</v>
      </c>
      <c r="AT118" s="36">
        <f t="shared" si="71"/>
        <v>0.32731836535847547</v>
      </c>
      <c r="AU118" s="4">
        <f t="shared" si="72"/>
        <v>26.018374353773822</v>
      </c>
      <c r="AV118" s="4">
        <f t="shared" si="73"/>
        <v>0.04277172285850054</v>
      </c>
      <c r="AW118" s="4">
        <f t="shared" si="74"/>
        <v>0.005222418975491905</v>
      </c>
      <c r="AX118" s="21">
        <f t="shared" si="84"/>
        <v>3.29</v>
      </c>
      <c r="AY118" s="36">
        <f t="shared" si="75"/>
        <v>-0.019410029498525078</v>
      </c>
      <c r="AZ118" s="36">
        <f t="shared" si="76"/>
        <v>-0.06278239549432975</v>
      </c>
      <c r="BA118" s="36">
        <f t="shared" si="77"/>
        <v>-0.008804597701149426</v>
      </c>
      <c r="BB118" s="6">
        <f t="shared" si="50"/>
        <v>0.055829340708052365</v>
      </c>
      <c r="BC118" s="6">
        <f t="shared" si="57"/>
        <v>-0.00026578850639236845</v>
      </c>
      <c r="BD118" s="4">
        <f t="shared" si="51"/>
        <v>0.8303872994428196</v>
      </c>
      <c r="BE118" s="4">
        <f>SUMPRODUCT(BC$4:BC118,$BD$240:BD$354)</f>
        <v>0.04401419154491073</v>
      </c>
      <c r="BF118" s="23">
        <f t="shared" si="59"/>
        <v>0.04401419154491073</v>
      </c>
      <c r="BG118" s="48"/>
    </row>
    <row r="119" spans="5:59" ht="15">
      <c r="E119" s="1">
        <f t="shared" si="52"/>
        <v>115</v>
      </c>
      <c r="F119" s="1">
        <f t="shared" si="40"/>
        <v>1865</v>
      </c>
      <c r="G119" s="3">
        <f t="shared" si="81"/>
        <v>0.06749999999999999</v>
      </c>
      <c r="H119" s="3">
        <f t="shared" si="82"/>
        <v>0.1065000000000001</v>
      </c>
      <c r="I119" s="5">
        <f t="shared" si="41"/>
        <v>0.03471099329865316</v>
      </c>
      <c r="J119" s="5">
        <f t="shared" si="53"/>
        <v>0.04427203346355774</v>
      </c>
      <c r="K119" s="4">
        <f t="shared" si="42"/>
        <v>0.09501697323778921</v>
      </c>
      <c r="L119" s="4">
        <f t="shared" si="43"/>
        <v>0.0002797568217678882</v>
      </c>
      <c r="M119" s="4">
        <f t="shared" si="60"/>
        <v>0.1863918250463862</v>
      </c>
      <c r="N119" s="4">
        <f t="shared" si="44"/>
        <v>5.2144384578493265E-05</v>
      </c>
      <c r="O119" s="4">
        <f>SUMPRODUCT($M$4:M119,L$239:$L$354)</f>
        <v>0.11270038627334554</v>
      </c>
      <c r="P119" s="4">
        <f t="shared" si="45"/>
        <v>0.07369143877304067</v>
      </c>
      <c r="Q119" s="4">
        <f t="shared" si="61"/>
        <v>1.6191684310711523</v>
      </c>
      <c r="R119" s="4">
        <f t="shared" si="62"/>
        <v>2.120377741370777</v>
      </c>
      <c r="S119" s="4">
        <f t="shared" si="58"/>
        <v>0.03710148918394239</v>
      </c>
      <c r="T119" s="5">
        <f t="shared" si="63"/>
        <v>282.646118806521</v>
      </c>
      <c r="U119" s="4">
        <f t="shared" si="46"/>
        <v>283.0472234297008</v>
      </c>
      <c r="V119" s="4">
        <f t="shared" si="32"/>
        <v>0.0016425583706993231</v>
      </c>
      <c r="W119" s="4">
        <f>SUMPRODUCT($J$4:J119,$S$239:S$354)</f>
        <v>0.26357573060544487</v>
      </c>
      <c r="X119" s="6">
        <f t="shared" si="64"/>
        <v>0.05790919070837202</v>
      </c>
      <c r="Y119" s="4">
        <f t="shared" si="47"/>
        <v>1865</v>
      </c>
      <c r="Z119" s="4">
        <f t="shared" si="54"/>
        <v>115</v>
      </c>
      <c r="AA119" s="21">
        <f t="shared" si="48"/>
        <v>42.55</v>
      </c>
      <c r="AB119" s="6">
        <f t="shared" si="65"/>
        <v>148.8853745</v>
      </c>
      <c r="AC119" s="24">
        <f t="shared" si="33"/>
        <v>145.26705665060484</v>
      </c>
      <c r="AD119" s="4">
        <f t="shared" si="34"/>
        <v>6.2802127001832595</v>
      </c>
      <c r="AE119" s="4">
        <f t="shared" si="35"/>
        <v>3.6183178493951687</v>
      </c>
      <c r="AF119" s="6">
        <f t="shared" si="83"/>
        <v>912.3080140953696</v>
      </c>
      <c r="AG119" s="30">
        <f t="shared" si="66"/>
        <v>0.10659921053833407</v>
      </c>
      <c r="AH119" s="27">
        <v>0</v>
      </c>
      <c r="AI119" s="47">
        <f t="shared" si="67"/>
        <v>1.975</v>
      </c>
      <c r="AJ119" s="4">
        <f t="shared" si="36"/>
        <v>2.0630266081192463</v>
      </c>
      <c r="AK119" s="4">
        <f t="shared" si="68"/>
        <v>123.69960739219069</v>
      </c>
      <c r="AL119" s="4">
        <f t="shared" si="37"/>
        <v>-0.08802660811924623</v>
      </c>
      <c r="AM119" s="5">
        <f t="shared" si="56"/>
        <v>255.1955814639936</v>
      </c>
      <c r="AN119" s="26">
        <f t="shared" si="69"/>
        <v>-0.06210964324831018</v>
      </c>
      <c r="AO119" s="4">
        <f t="shared" si="38"/>
        <v>1.3849568334451288</v>
      </c>
      <c r="AP119" s="21">
        <f t="shared" si="78"/>
        <v>3</v>
      </c>
      <c r="AQ119" s="21">
        <f t="shared" si="79"/>
        <v>78.5</v>
      </c>
      <c r="AR119" s="21">
        <f t="shared" si="80"/>
        <v>15.7</v>
      </c>
      <c r="AS119" s="35">
        <f t="shared" si="39"/>
        <v>0.1592302757470013</v>
      </c>
      <c r="AT119" s="36">
        <f t="shared" si="71"/>
        <v>0.32566897196596234</v>
      </c>
      <c r="AU119" s="4">
        <f t="shared" si="72"/>
        <v>26.067178250531835</v>
      </c>
      <c r="AV119" s="4">
        <f t="shared" si="73"/>
        <v>0.04482148652233709</v>
      </c>
      <c r="AW119" s="4">
        <f t="shared" si="74"/>
        <v>0.005329960526916704</v>
      </c>
      <c r="AX119" s="21">
        <f t="shared" si="84"/>
        <v>3.525</v>
      </c>
      <c r="AY119" s="36">
        <f t="shared" si="75"/>
        <v>-0.02079646017699115</v>
      </c>
      <c r="AZ119" s="36">
        <f t="shared" si="76"/>
        <v>-0.06709075511557398</v>
      </c>
      <c r="BA119" s="36">
        <f t="shared" si="77"/>
        <v>-0.009022988505747126</v>
      </c>
      <c r="BB119" s="6">
        <f t="shared" si="50"/>
        <v>0.055640001249337455</v>
      </c>
      <c r="BC119" s="6">
        <f t="shared" si="57"/>
        <v>-0.00018933945871490998</v>
      </c>
      <c r="BD119" s="4">
        <f t="shared" si="51"/>
        <v>0.8300013738797488</v>
      </c>
      <c r="BE119" s="4">
        <f>SUMPRODUCT(BC$4:BC119,$BD$239:BD$354)</f>
        <v>0.044602032857579146</v>
      </c>
      <c r="BF119" s="23">
        <f t="shared" si="59"/>
        <v>0.044602032857579146</v>
      </c>
      <c r="BG119" s="48"/>
    </row>
    <row r="120" spans="5:59" ht="15">
      <c r="E120" s="1">
        <f t="shared" si="52"/>
        <v>116</v>
      </c>
      <c r="F120" s="1">
        <f t="shared" si="40"/>
        <v>1866</v>
      </c>
      <c r="G120" s="3">
        <f t="shared" si="81"/>
        <v>0.072</v>
      </c>
      <c r="H120" s="3">
        <f t="shared" si="82"/>
        <v>0.1076000000000001</v>
      </c>
      <c r="I120" s="5">
        <f t="shared" si="41"/>
        <v>0.03578656057672546</v>
      </c>
      <c r="J120" s="5">
        <f t="shared" si="53"/>
        <v>0.046333524393180725</v>
      </c>
      <c r="K120" s="4">
        <f t="shared" si="42"/>
        <v>0.0974799150300939</v>
      </c>
      <c r="L120" s="4">
        <f t="shared" si="43"/>
        <v>0.00028257278687349716</v>
      </c>
      <c r="M120" s="4">
        <f t="shared" si="60"/>
        <v>0.19217148856551364</v>
      </c>
      <c r="N120" s="4">
        <f t="shared" si="44"/>
        <v>5.4302433081585584E-05</v>
      </c>
      <c r="O120" s="4">
        <f>SUMPRODUCT($M$4:M120,L$238:$L$354)</f>
        <v>0.11619662046112547</v>
      </c>
      <c r="P120" s="4">
        <f t="shared" si="45"/>
        <v>0.07597486810438817</v>
      </c>
      <c r="Q120" s="4">
        <f t="shared" si="61"/>
        <v>1.67173999301133</v>
      </c>
      <c r="R120" s="4">
        <f t="shared" si="62"/>
        <v>2.1895586847986737</v>
      </c>
      <c r="S120" s="4">
        <f t="shared" si="58"/>
        <v>0.03717542245852226</v>
      </c>
      <c r="T120" s="5">
        <f t="shared" si="63"/>
        <v>282.72245867193635</v>
      </c>
      <c r="U120" s="4">
        <f t="shared" si="46"/>
        <v>283.14224040293857</v>
      </c>
      <c r="V120" s="4">
        <f t="shared" si="32"/>
        <v>0.0017224683433087397</v>
      </c>
      <c r="W120" s="4">
        <f>SUMPRODUCT($J$4:J120,$S$238:S$354)</f>
        <v>0.27220137022884283</v>
      </c>
      <c r="X120" s="6">
        <f t="shared" si="64"/>
        <v>0.059704846912049823</v>
      </c>
      <c r="Y120" s="4">
        <f t="shared" si="47"/>
        <v>1866</v>
      </c>
      <c r="Z120" s="4">
        <f t="shared" si="54"/>
        <v>116</v>
      </c>
      <c r="AA120" s="21">
        <f t="shared" si="48"/>
        <v>42.92</v>
      </c>
      <c r="AB120" s="6">
        <f t="shared" si="65"/>
        <v>149.25537450000002</v>
      </c>
      <c r="AC120" s="24">
        <f t="shared" si="33"/>
        <v>145.62505327247163</v>
      </c>
      <c r="AD120" s="4">
        <f t="shared" si="34"/>
        <v>6.289620579441242</v>
      </c>
      <c r="AE120" s="4">
        <f t="shared" si="35"/>
        <v>3.630321227528384</v>
      </c>
      <c r="AF120" s="6">
        <f t="shared" si="83"/>
        <v>915.9263319447648</v>
      </c>
      <c r="AG120" s="30">
        <f t="shared" si="66"/>
        <v>0.10875337322207486</v>
      </c>
      <c r="AH120" s="27">
        <v>0</v>
      </c>
      <c r="AI120" s="47">
        <f t="shared" si="67"/>
        <v>1.975</v>
      </c>
      <c r="AJ120" s="4">
        <f t="shared" si="36"/>
        <v>2.062314992213788</v>
      </c>
      <c r="AK120" s="4">
        <f t="shared" si="68"/>
        <v>123.69960739219069</v>
      </c>
      <c r="AL120" s="4">
        <f t="shared" si="37"/>
        <v>-0.08731499221378769</v>
      </c>
      <c r="AM120" s="5">
        <f t="shared" si="56"/>
        <v>255.10755485587435</v>
      </c>
      <c r="AN120" s="26">
        <f t="shared" si="69"/>
        <v>-0.06244029139959352</v>
      </c>
      <c r="AO120" s="4">
        <f t="shared" si="38"/>
        <v>1.3826751339633203</v>
      </c>
      <c r="AP120" s="21">
        <f t="shared" si="78"/>
        <v>3.2</v>
      </c>
      <c r="AQ120" s="21">
        <f t="shared" si="79"/>
        <v>80.4</v>
      </c>
      <c r="AR120" s="21">
        <f t="shared" si="80"/>
        <v>16.28</v>
      </c>
      <c r="AS120" s="35">
        <f t="shared" si="39"/>
        <v>0.15899210252343046</v>
      </c>
      <c r="AT120" s="36">
        <f t="shared" si="71"/>
        <v>0.3240201255690319</v>
      </c>
      <c r="AU120" s="4">
        <f t="shared" si="72"/>
        <v>26.115973600483876</v>
      </c>
      <c r="AV120" s="4">
        <f t="shared" si="73"/>
        <v>0.046870891220322806</v>
      </c>
      <c r="AW120" s="4">
        <f t="shared" si="74"/>
        <v>0.0054376686611037435</v>
      </c>
      <c r="AX120" s="21">
        <f t="shared" si="84"/>
        <v>3.76</v>
      </c>
      <c r="AY120" s="36">
        <f t="shared" si="75"/>
        <v>-0.02218289085545723</v>
      </c>
      <c r="AZ120" s="36">
        <f t="shared" si="76"/>
        <v>-0.07137693214393089</v>
      </c>
      <c r="BA120" s="36">
        <f t="shared" si="77"/>
        <v>-0.009241379310344829</v>
      </c>
      <c r="BB120" s="6">
        <f t="shared" si="50"/>
        <v>0.05552528630622478</v>
      </c>
      <c r="BC120" s="6">
        <f t="shared" si="57"/>
        <v>-0.00011471494311267316</v>
      </c>
      <c r="BD120" s="4">
        <f t="shared" si="51"/>
        <v>0.829614569944455</v>
      </c>
      <c r="BE120" s="4">
        <f>SUMPRODUCT(BC$4:BC120,$BD$238:BD$354)</f>
        <v>0.04514481478082095</v>
      </c>
      <c r="BF120" s="23">
        <f t="shared" si="59"/>
        <v>0.04514481478082095</v>
      </c>
      <c r="BG120" s="48"/>
    </row>
    <row r="121" spans="5:59" ht="15">
      <c r="E121" s="1">
        <f t="shared" si="52"/>
        <v>117</v>
      </c>
      <c r="F121" s="1">
        <f t="shared" si="40"/>
        <v>1867</v>
      </c>
      <c r="G121" s="3">
        <f t="shared" si="81"/>
        <v>0.0765</v>
      </c>
      <c r="H121" s="3">
        <f t="shared" si="82"/>
        <v>0.1087000000000001</v>
      </c>
      <c r="I121" s="5">
        <f t="shared" si="41"/>
        <v>0.03687774504105661</v>
      </c>
      <c r="J121" s="5">
        <f t="shared" si="53"/>
        <v>0.04841249210223986</v>
      </c>
      <c r="K121" s="4">
        <f t="shared" si="42"/>
        <v>0.09990976285670361</v>
      </c>
      <c r="L121" s="4">
        <f t="shared" si="43"/>
        <v>0.0002854172765590245</v>
      </c>
      <c r="M121" s="4">
        <f t="shared" si="60"/>
        <v>0.19809895190229054</v>
      </c>
      <c r="N121" s="4">
        <f t="shared" si="44"/>
        <v>5.654086334114895E-05</v>
      </c>
      <c r="O121" s="4">
        <f>SUMPRODUCT($M$4:M121,L$237:$L$354)</f>
        <v>0.11980749918012734</v>
      </c>
      <c r="P121" s="4">
        <f t="shared" si="45"/>
        <v>0.0782914527221632</v>
      </c>
      <c r="Q121" s="4">
        <f t="shared" si="61"/>
        <v>1.7264484697387381</v>
      </c>
      <c r="R121" s="4">
        <f t="shared" si="62"/>
        <v>2.2615742079166345</v>
      </c>
      <c r="S121" s="4">
        <f t="shared" si="58"/>
        <v>0.037249863198424216</v>
      </c>
      <c r="T121" s="5">
        <f t="shared" si="63"/>
        <v>282.80110313952235</v>
      </c>
      <c r="U121" s="4">
        <f t="shared" si="46"/>
        <v>283.23972031796865</v>
      </c>
      <c r="V121" s="4">
        <f t="shared" si="32"/>
        <v>0.0018033587079032275</v>
      </c>
      <c r="W121" s="4">
        <f>SUMPRODUCT($J$4:J121,$S$237:S$354)</f>
        <v>0.28115282730892366</v>
      </c>
      <c r="X121" s="6">
        <f t="shared" si="64"/>
        <v>0.06154642233898109</v>
      </c>
      <c r="Y121" s="4">
        <f t="shared" si="47"/>
        <v>1867</v>
      </c>
      <c r="Z121" s="4">
        <f t="shared" si="54"/>
        <v>117</v>
      </c>
      <c r="AA121" s="21">
        <f t="shared" si="48"/>
        <v>43.29</v>
      </c>
      <c r="AB121" s="6">
        <f t="shared" si="65"/>
        <v>149.6253745</v>
      </c>
      <c r="AC121" s="24">
        <f t="shared" si="33"/>
        <v>145.98370095897653</v>
      </c>
      <c r="AD121" s="4">
        <f t="shared" si="34"/>
        <v>6.299036448121709</v>
      </c>
      <c r="AE121" s="4">
        <f t="shared" si="35"/>
        <v>3.641673541023465</v>
      </c>
      <c r="AF121" s="6">
        <f t="shared" si="83"/>
        <v>919.5566531722932</v>
      </c>
      <c r="AG121" s="30">
        <f t="shared" si="66"/>
        <v>0.11091041019348126</v>
      </c>
      <c r="AH121" s="27">
        <v>0</v>
      </c>
      <c r="AI121" s="47">
        <f t="shared" si="67"/>
        <v>1.975</v>
      </c>
      <c r="AJ121" s="4">
        <f t="shared" si="36"/>
        <v>2.0616091290824934</v>
      </c>
      <c r="AK121" s="4">
        <f t="shared" si="68"/>
        <v>123.69960739219069</v>
      </c>
      <c r="AL121" s="4">
        <f t="shared" si="37"/>
        <v>-0.0866091290824933</v>
      </c>
      <c r="AM121" s="5">
        <f t="shared" si="56"/>
        <v>255.02023986366058</v>
      </c>
      <c r="AN121" s="26">
        <f t="shared" si="69"/>
        <v>-0.06276832291924869</v>
      </c>
      <c r="AO121" s="4">
        <f t="shared" si="38"/>
        <v>1.3803983211165576</v>
      </c>
      <c r="AP121" s="21">
        <f t="shared" si="78"/>
        <v>3.4000000000000004</v>
      </c>
      <c r="AQ121" s="21">
        <f t="shared" si="79"/>
        <v>82.3</v>
      </c>
      <c r="AR121" s="21">
        <f t="shared" si="80"/>
        <v>16.86</v>
      </c>
      <c r="AS121" s="35">
        <f t="shared" si="39"/>
        <v>0.15875443938702516</v>
      </c>
      <c r="AT121" s="36">
        <f t="shared" si="71"/>
        <v>0.3223720960112974</v>
      </c>
      <c r="AU121" s="4">
        <f t="shared" si="72"/>
        <v>26.16475618732348</v>
      </c>
      <c r="AV121" s="4">
        <f t="shared" si="73"/>
        <v>0.04891975986758616</v>
      </c>
      <c r="AW121" s="4">
        <f t="shared" si="74"/>
        <v>0.005545520509674063</v>
      </c>
      <c r="AX121" s="21">
        <f t="shared" si="84"/>
        <v>3.9949999999999997</v>
      </c>
      <c r="AY121" s="36">
        <f t="shared" si="75"/>
        <v>-0.023569321533923306</v>
      </c>
      <c r="AZ121" s="36">
        <f t="shared" si="76"/>
        <v>-0.07564115383431597</v>
      </c>
      <c r="BA121" s="36">
        <f t="shared" si="77"/>
        <v>-0.009459770114942529</v>
      </c>
      <c r="BB121" s="6">
        <f t="shared" si="50"/>
        <v>0.055483544507292086</v>
      </c>
      <c r="BC121" s="6">
        <f t="shared" si="57"/>
        <v>-4.1741798932695695E-05</v>
      </c>
      <c r="BD121" s="4">
        <f t="shared" si="51"/>
        <v>0.8292268856188643</v>
      </c>
      <c r="BE121" s="4">
        <f>SUMPRODUCT(BC$4:BC121,$BD$237:BD$354)</f>
        <v>0.045649147869108495</v>
      </c>
      <c r="BF121" s="23">
        <f t="shared" si="59"/>
        <v>0.045649147869108495</v>
      </c>
      <c r="BG121" s="48"/>
    </row>
    <row r="122" spans="5:59" ht="15">
      <c r="E122" s="1">
        <f t="shared" si="52"/>
        <v>118</v>
      </c>
      <c r="F122" s="1">
        <f t="shared" si="40"/>
        <v>1868</v>
      </c>
      <c r="G122" s="3">
        <f t="shared" si="81"/>
        <v>0.08099999999999999</v>
      </c>
      <c r="H122" s="3">
        <f t="shared" si="82"/>
        <v>0.1098000000000001</v>
      </c>
      <c r="I122" s="5">
        <f t="shared" si="41"/>
        <v>0.03798389935086701</v>
      </c>
      <c r="J122" s="5">
        <f t="shared" si="53"/>
        <v>0.05050653617216649</v>
      </c>
      <c r="K122" s="4">
        <f t="shared" si="42"/>
        <v>0.10230956447696657</v>
      </c>
      <c r="L122" s="4">
        <f t="shared" si="43"/>
        <v>0.0002882905889685634</v>
      </c>
      <c r="M122" s="4">
        <f t="shared" si="60"/>
        <v>0.204172050517742</v>
      </c>
      <c r="N122" s="4">
        <f t="shared" si="44"/>
        <v>5.886088069467912E-05</v>
      </c>
      <c r="O122" s="4">
        <f>SUMPRODUCT($M$4:M122,L$236:$L$354)</f>
        <v>0.12353223219585134</v>
      </c>
      <c r="P122" s="4">
        <f t="shared" si="45"/>
        <v>0.08063981832189067</v>
      </c>
      <c r="Q122" s="4">
        <f t="shared" si="61"/>
        <v>1.7832234571858805</v>
      </c>
      <c r="R122" s="4">
        <f t="shared" si="62"/>
        <v>2.336334291187042</v>
      </c>
      <c r="S122" s="4">
        <f t="shared" si="58"/>
        <v>0.037324816388724084</v>
      </c>
      <c r="T122" s="5">
        <f t="shared" si="63"/>
        <v>282.88204086310554</v>
      </c>
      <c r="U122" s="4">
        <f t="shared" si="46"/>
        <v>283.3396300808254</v>
      </c>
      <c r="V122" s="4">
        <f t="shared" si="32"/>
        <v>0.0018851471890565655</v>
      </c>
      <c r="W122" s="4">
        <f>SUMPRODUCT($J$4:J122,$S$236:S$354)</f>
        <v>0.29041992446003306</v>
      </c>
      <c r="X122" s="6">
        <f t="shared" si="64"/>
        <v>0.06343324449883389</v>
      </c>
      <c r="Y122" s="4">
        <f t="shared" si="47"/>
        <v>1868</v>
      </c>
      <c r="Z122" s="4">
        <f t="shared" si="54"/>
        <v>118</v>
      </c>
      <c r="AA122" s="21">
        <f t="shared" si="48"/>
        <v>43.66</v>
      </c>
      <c r="AB122" s="6">
        <f t="shared" si="65"/>
        <v>149.9953745</v>
      </c>
      <c r="AC122" s="24">
        <f t="shared" si="33"/>
        <v>146.3429236745632</v>
      </c>
      <c r="AD122" s="4">
        <f t="shared" si="34"/>
        <v>6.3084589506105635</v>
      </c>
      <c r="AE122" s="4">
        <f t="shared" si="35"/>
        <v>3.6524508254368016</v>
      </c>
      <c r="AF122" s="6">
        <f t="shared" si="83"/>
        <v>923.1983267133166</v>
      </c>
      <c r="AG122" s="30">
        <f t="shared" si="66"/>
        <v>0.1130699187487861</v>
      </c>
      <c r="AH122" s="27">
        <v>0</v>
      </c>
      <c r="AI122" s="47">
        <f t="shared" si="67"/>
        <v>1.975</v>
      </c>
      <c r="AJ122" s="4">
        <f t="shared" si="36"/>
        <v>2.06090897221936</v>
      </c>
      <c r="AK122" s="4">
        <f t="shared" si="68"/>
        <v>123.69960739219069</v>
      </c>
      <c r="AL122" s="4">
        <f t="shared" si="37"/>
        <v>-0.08590897221936</v>
      </c>
      <c r="AM122" s="5">
        <f t="shared" si="56"/>
        <v>254.9336307345781</v>
      </c>
      <c r="AN122" s="26">
        <f t="shared" si="69"/>
        <v>-0.0630937580812958</v>
      </c>
      <c r="AO122" s="4">
        <f t="shared" si="38"/>
        <v>1.3781267080027204</v>
      </c>
      <c r="AP122" s="21">
        <f t="shared" si="78"/>
        <v>3.6</v>
      </c>
      <c r="AQ122" s="21">
        <f t="shared" si="79"/>
        <v>84.19999999999999</v>
      </c>
      <c r="AR122" s="21">
        <f t="shared" si="80"/>
        <v>17.44</v>
      </c>
      <c r="AS122" s="35">
        <f t="shared" si="39"/>
        <v>0.15851731902023633</v>
      </c>
      <c r="AT122" s="36">
        <f t="shared" si="71"/>
        <v>0.3207251190193592</v>
      </c>
      <c r="AU122" s="4">
        <f t="shared" si="72"/>
        <v>26.213522327822513</v>
      </c>
      <c r="AV122" s="4">
        <f t="shared" si="73"/>
        <v>0.050967937768545565</v>
      </c>
      <c r="AW122" s="4">
        <f t="shared" si="74"/>
        <v>0.005653495937439306</v>
      </c>
      <c r="AX122" s="21">
        <f t="shared" si="84"/>
        <v>4.2299999999999995</v>
      </c>
      <c r="AY122" s="36">
        <f t="shared" si="75"/>
        <v>-0.02495575221238938</v>
      </c>
      <c r="AZ122" s="36">
        <f t="shared" si="76"/>
        <v>-0.07988364396718352</v>
      </c>
      <c r="BA122" s="36">
        <f t="shared" si="77"/>
        <v>-0.009678160919540229</v>
      </c>
      <c r="BB122" s="6">
        <f t="shared" si="50"/>
        <v>0.05551328177319592</v>
      </c>
      <c r="BC122" s="6">
        <f t="shared" si="57"/>
        <v>2.9737265903835575E-05</v>
      </c>
      <c r="BD122" s="4">
        <f t="shared" si="51"/>
        <v>0.8288383188789086</v>
      </c>
      <c r="BE122" s="4">
        <f>SUMPRODUCT(BC$4:BC122,$BD$236:BD$354)</f>
        <v>0.04612112266253688</v>
      </c>
      <c r="BF122" s="23">
        <f t="shared" si="59"/>
        <v>0.04612112266253688</v>
      </c>
      <c r="BG122" s="48"/>
    </row>
    <row r="123" spans="5:59" ht="15">
      <c r="E123" s="1">
        <f t="shared" si="52"/>
        <v>119</v>
      </c>
      <c r="F123" s="1">
        <f t="shared" si="40"/>
        <v>1869</v>
      </c>
      <c r="G123" s="3">
        <f t="shared" si="81"/>
        <v>0.08549999999999999</v>
      </c>
      <c r="H123" s="3">
        <f t="shared" si="82"/>
        <v>0.11090000000000011</v>
      </c>
      <c r="I123" s="5">
        <f t="shared" si="41"/>
        <v>0.0391044441474556</v>
      </c>
      <c r="J123" s="5">
        <f t="shared" si="53"/>
        <v>0.05261342269794577</v>
      </c>
      <c r="K123" s="4">
        <f t="shared" si="42"/>
        <v>0.10468213315459873</v>
      </c>
      <c r="L123" s="4">
        <f t="shared" si="43"/>
        <v>0.0002911930258305456</v>
      </c>
      <c r="M123" s="4">
        <f t="shared" si="60"/>
        <v>0.21038880424980003</v>
      </c>
      <c r="N123" s="4">
        <f t="shared" si="44"/>
        <v>6.126375251036962E-05</v>
      </c>
      <c r="O123" s="4">
        <f>SUMPRODUCT($M$4:M123,L$235:$L$354)</f>
        <v>0.12737006932475178</v>
      </c>
      <c r="P123" s="4">
        <f t="shared" si="45"/>
        <v>0.08301873492504824</v>
      </c>
      <c r="Q123" s="4">
        <f t="shared" si="61"/>
        <v>1.8420004048625302</v>
      </c>
      <c r="R123" s="4">
        <f t="shared" si="62"/>
        <v>2.4137566068599585</v>
      </c>
      <c r="S123" s="4">
        <f t="shared" si="58"/>
        <v>0.0374002870788113</v>
      </c>
      <c r="T123" s="5">
        <f t="shared" si="63"/>
        <v>282.96526203565895</v>
      </c>
      <c r="U123" s="4">
        <f t="shared" si="46"/>
        <v>283.44193964530234</v>
      </c>
      <c r="V123" s="4">
        <f t="shared" si="32"/>
        <v>0.0019677571131020183</v>
      </c>
      <c r="W123" s="4">
        <f>SUMPRODUCT($J$4:J123,$S$235:S$354)</f>
        <v>0.2999929907404501</v>
      </c>
      <c r="X123" s="6">
        <f t="shared" si="64"/>
        <v>0.06536469818446168</v>
      </c>
      <c r="Y123" s="4">
        <f t="shared" si="47"/>
        <v>1869</v>
      </c>
      <c r="Z123" s="4">
        <f t="shared" si="54"/>
        <v>119</v>
      </c>
      <c r="AA123" s="21">
        <f t="shared" si="48"/>
        <v>44.03</v>
      </c>
      <c r="AB123" s="6">
        <f t="shared" si="65"/>
        <v>150.3653745</v>
      </c>
      <c r="AC123" s="24">
        <f t="shared" si="33"/>
        <v>146.70265435727</v>
      </c>
      <c r="AD123" s="4">
        <f t="shared" si="34"/>
        <v>6.3178868957719185</v>
      </c>
      <c r="AE123" s="4">
        <f t="shared" si="35"/>
        <v>3.662720142729995</v>
      </c>
      <c r="AF123" s="6">
        <f t="shared" si="83"/>
        <v>926.8507775387534</v>
      </c>
      <c r="AG123" s="30">
        <f t="shared" si="66"/>
        <v>0.11523154429509225</v>
      </c>
      <c r="AH123" s="27">
        <v>0</v>
      </c>
      <c r="AI123" s="47">
        <f t="shared" si="67"/>
        <v>1.975</v>
      </c>
      <c r="AJ123" s="4">
        <f t="shared" si="36"/>
        <v>2.0602144754943468</v>
      </c>
      <c r="AK123" s="4">
        <f t="shared" si="68"/>
        <v>123.69960739219069</v>
      </c>
      <c r="AL123" s="4">
        <f t="shared" si="37"/>
        <v>-0.08521447549434669</v>
      </c>
      <c r="AM123" s="5">
        <f t="shared" si="56"/>
        <v>254.84772176235873</v>
      </c>
      <c r="AN123" s="26">
        <f t="shared" si="69"/>
        <v>-0.0634166170093524</v>
      </c>
      <c r="AO123" s="4">
        <f t="shared" si="38"/>
        <v>1.3758605643922828</v>
      </c>
      <c r="AP123" s="21">
        <f t="shared" si="78"/>
        <v>3.8000000000000003</v>
      </c>
      <c r="AQ123" s="21">
        <f t="shared" si="79"/>
        <v>86.1</v>
      </c>
      <c r="AR123" s="21">
        <f t="shared" si="80"/>
        <v>18.02</v>
      </c>
      <c r="AS123" s="35">
        <f t="shared" si="39"/>
        <v>0.1582807695828211</v>
      </c>
      <c r="AT123" s="36">
        <f t="shared" si="71"/>
        <v>0.3190794003592772</v>
      </c>
      <c r="AU123" s="4">
        <f t="shared" si="72"/>
        <v>26.262268806886294</v>
      </c>
      <c r="AV123" s="4">
        <f t="shared" si="73"/>
        <v>0.05301528988922433</v>
      </c>
      <c r="AW123" s="4">
        <f t="shared" si="74"/>
        <v>0.005761577214754613</v>
      </c>
      <c r="AX123" s="21">
        <f t="shared" si="84"/>
        <v>4.465</v>
      </c>
      <c r="AY123" s="36">
        <f t="shared" si="75"/>
        <v>-0.02634218289085546</v>
      </c>
      <c r="AZ123" s="36">
        <f t="shared" si="76"/>
        <v>-0.08410462291899463</v>
      </c>
      <c r="BA123" s="36">
        <f t="shared" si="77"/>
        <v>-0.009896551724137932</v>
      </c>
      <c r="BB123" s="6">
        <f t="shared" si="50"/>
        <v>0.05561313504019243</v>
      </c>
      <c r="BC123" s="6">
        <f t="shared" si="57"/>
        <v>9.985326699650521E-05</v>
      </c>
      <c r="BD123" s="4">
        <f t="shared" si="51"/>
        <v>0.8284488676944108</v>
      </c>
      <c r="BE123" s="4">
        <f>SUMPRODUCT(BC$4:BC123,$BD$235:BD$354)</f>
        <v>0.046566352091556365</v>
      </c>
      <c r="BF123" s="23">
        <f t="shared" si="59"/>
        <v>0.046566352091556365</v>
      </c>
      <c r="BG123" s="48"/>
    </row>
    <row r="124" spans="5:59" ht="15">
      <c r="E124" s="1">
        <f t="shared" si="52"/>
        <v>120</v>
      </c>
      <c r="F124" s="1">
        <f t="shared" si="40"/>
        <v>1870</v>
      </c>
      <c r="G124" s="3">
        <f t="shared" si="81"/>
        <v>0.09</v>
      </c>
      <c r="H124" s="3">
        <f t="shared" si="82"/>
        <v>0.11200000000000011</v>
      </c>
      <c r="I124" s="5">
        <f t="shared" si="41"/>
        <v>0.04023885552682503</v>
      </c>
      <c r="J124" s="5">
        <f t="shared" si="53"/>
        <v>0.05473138716116453</v>
      </c>
      <c r="K124" s="4">
        <f t="shared" si="42"/>
        <v>0.10702975731201055</v>
      </c>
      <c r="L124" s="4">
        <f t="shared" si="43"/>
        <v>0.0002941248925239095</v>
      </c>
      <c r="M124" s="4">
        <f t="shared" si="60"/>
        <v>0.21674740290963418</v>
      </c>
      <c r="N124" s="4">
        <f t="shared" si="44"/>
        <v>6.375080658563265E-05</v>
      </c>
      <c r="O124" s="4">
        <f>SUMPRODUCT($M$4:M124,L$234:$L$354)</f>
        <v>0.13132031262618463</v>
      </c>
      <c r="P124" s="4">
        <f t="shared" si="45"/>
        <v>0.08542709028344955</v>
      </c>
      <c r="Q124" s="4">
        <f t="shared" si="61"/>
        <v>1.9027179744200924</v>
      </c>
      <c r="R124" s="4">
        <f t="shared" si="62"/>
        <v>2.493763040530107</v>
      </c>
      <c r="S124" s="4">
        <f t="shared" si="58"/>
        <v>0.03747628038339505</v>
      </c>
      <c r="T124" s="5">
        <f t="shared" si="63"/>
        <v>283.0507554107768</v>
      </c>
      <c r="U124" s="4">
        <f t="shared" si="46"/>
        <v>283.54662177845694</v>
      </c>
      <c r="V124" s="4">
        <f t="shared" si="32"/>
        <v>0.0020511288110239504</v>
      </c>
      <c r="W124" s="4">
        <f>SUMPRODUCT($J$4:J124,$S$234:S$354)</f>
        <v>0.30986307588219214</v>
      </c>
      <c r="X124" s="6">
        <f t="shared" si="64"/>
        <v>0.06734022099689564</v>
      </c>
      <c r="Y124" s="4">
        <f t="shared" si="47"/>
        <v>1870</v>
      </c>
      <c r="Z124" s="4">
        <f t="shared" si="54"/>
        <v>120</v>
      </c>
      <c r="AA124" s="21">
        <f t="shared" si="48"/>
        <v>44.4</v>
      </c>
      <c r="AB124" s="6">
        <f t="shared" si="65"/>
        <v>150.7353745</v>
      </c>
      <c r="AC124" s="24">
        <f t="shared" si="33"/>
        <v>147.06283384869235</v>
      </c>
      <c r="AD124" s="4">
        <f t="shared" si="34"/>
        <v>6.327319237155835</v>
      </c>
      <c r="AE124" s="4">
        <f t="shared" si="35"/>
        <v>3.6725406513076564</v>
      </c>
      <c r="AF124" s="6">
        <f t="shared" si="83"/>
        <v>930.5134976814834</v>
      </c>
      <c r="AG124" s="30">
        <f t="shared" si="66"/>
        <v>0.11739497458966924</v>
      </c>
      <c r="AH124" s="27">
        <v>0</v>
      </c>
      <c r="AI124" s="47">
        <f t="shared" si="67"/>
        <v>1.975</v>
      </c>
      <c r="AJ124" s="4">
        <f t="shared" si="36"/>
        <v>2.059525593150329</v>
      </c>
      <c r="AK124" s="4">
        <f t="shared" si="68"/>
        <v>123.69960739219069</v>
      </c>
      <c r="AL124" s="4">
        <f t="shared" si="37"/>
        <v>-0.08452559315032904</v>
      </c>
      <c r="AM124" s="5">
        <f t="shared" si="56"/>
        <v>254.76250728686438</v>
      </c>
      <c r="AN124" s="26">
        <f t="shared" si="69"/>
        <v>-0.06373691967764664</v>
      </c>
      <c r="AO124" s="4">
        <f t="shared" si="38"/>
        <v>1.3736001220896716</v>
      </c>
      <c r="AP124" s="21">
        <f t="shared" si="78"/>
        <v>4</v>
      </c>
      <c r="AQ124" s="21">
        <f t="shared" si="79"/>
        <v>88</v>
      </c>
      <c r="AR124" s="21">
        <f t="shared" si="80"/>
        <v>18.6</v>
      </c>
      <c r="AS124" s="35">
        <f t="shared" si="39"/>
        <v>0.15804481527148384</v>
      </c>
      <c r="AT124" s="36">
        <f t="shared" si="71"/>
        <v>0.31743511948411235</v>
      </c>
      <c r="AU124" s="4">
        <f t="shared" si="72"/>
        <v>26.310992820560745</v>
      </c>
      <c r="AV124" s="4">
        <f t="shared" si="73"/>
        <v>0.05506169846355131</v>
      </c>
      <c r="AW124" s="4">
        <f t="shared" si="74"/>
        <v>0.0058697487294834625</v>
      </c>
      <c r="AX124" s="21">
        <f t="shared" si="84"/>
        <v>4.699999999999999</v>
      </c>
      <c r="AY124" s="36">
        <f t="shared" si="75"/>
        <v>-0.027728613569321534</v>
      </c>
      <c r="AZ124" s="36">
        <f t="shared" si="76"/>
        <v>-0.08830430773090686</v>
      </c>
      <c r="BA124" s="36">
        <f t="shared" si="77"/>
        <v>-0.010114942528735633</v>
      </c>
      <c r="BB124" s="6">
        <f t="shared" si="50"/>
        <v>0.055781859272988996</v>
      </c>
      <c r="BC124" s="6">
        <f t="shared" si="57"/>
        <v>0.00016872423279656878</v>
      </c>
      <c r="BD124" s="4">
        <f t="shared" si="51"/>
        <v>0.8280585300289635</v>
      </c>
      <c r="BE124" s="4">
        <f>SUMPRODUCT(BC$4:BC124,$BD$234:BD$354)</f>
        <v>0.04699000977483192</v>
      </c>
      <c r="BF124" s="23">
        <f t="shared" si="59"/>
        <v>0.04699000977483192</v>
      </c>
      <c r="BG124" s="48"/>
    </row>
    <row r="125" spans="5:59" ht="15">
      <c r="E125" s="1">
        <f t="shared" si="52"/>
        <v>121</v>
      </c>
      <c r="F125" s="1">
        <f t="shared" si="40"/>
        <v>1871</v>
      </c>
      <c r="G125" s="3">
        <f t="shared" si="81"/>
        <v>0.09449999999999999</v>
      </c>
      <c r="H125" s="3">
        <f t="shared" si="82"/>
        <v>0.11310000000000012</v>
      </c>
      <c r="I125" s="5">
        <f t="shared" si="41"/>
        <v>0.041386647755669435</v>
      </c>
      <c r="J125" s="5">
        <f t="shared" si="53"/>
        <v>0.0568588281487299</v>
      </c>
      <c r="K125" s="4">
        <f t="shared" si="42"/>
        <v>0.10935452409560079</v>
      </c>
      <c r="L125" s="4">
        <f t="shared" si="43"/>
        <v>0.000297086498146478</v>
      </c>
      <c r="M125" s="4">
        <f t="shared" si="60"/>
        <v>0.22324617425901716</v>
      </c>
      <c r="N125" s="4">
        <f t="shared" si="44"/>
        <v>6.63234241352098E-05</v>
      </c>
      <c r="O125" s="4">
        <f>SUMPRODUCT($M$4:M125,L$233:$L$354)</f>
        <v>0.13538232107373094</v>
      </c>
      <c r="P125" s="4">
        <f t="shared" si="45"/>
        <v>0.08786385318528622</v>
      </c>
      <c r="Q125" s="4">
        <f t="shared" si="61"/>
        <v>1.96531939841302</v>
      </c>
      <c r="R125" s="4">
        <f t="shared" si="62"/>
        <v>2.576281480552178</v>
      </c>
      <c r="S125" s="4">
        <f t="shared" si="58"/>
        <v>0.0375528014835311</v>
      </c>
      <c r="T125" s="5">
        <f t="shared" si="63"/>
        <v>283.1385105527415</v>
      </c>
      <c r="U125" s="4">
        <f t="shared" si="46"/>
        <v>283.653651535769</v>
      </c>
      <c r="V125" s="4">
        <f t="shared" si="32"/>
        <v>0.002135208286055464</v>
      </c>
      <c r="W125" s="4">
        <f>SUMPRODUCT($J$4:J125,$S$233:S$354)</f>
        <v>0.32002172743573304</v>
      </c>
      <c r="X125" s="6">
        <f t="shared" si="64"/>
        <v>0.06935929339638454</v>
      </c>
      <c r="Y125" s="4">
        <f t="shared" si="47"/>
        <v>1871</v>
      </c>
      <c r="Z125" s="4">
        <f t="shared" si="54"/>
        <v>121</v>
      </c>
      <c r="AA125" s="21">
        <f t="shared" si="48"/>
        <v>44.769999999999996</v>
      </c>
      <c r="AB125" s="6">
        <f t="shared" si="65"/>
        <v>151.10537449999998</v>
      </c>
      <c r="AC125" s="24">
        <f t="shared" si="33"/>
        <v>147.42340995275705</v>
      </c>
      <c r="AD125" s="4">
        <f t="shared" si="34"/>
        <v>6.3367550556058765</v>
      </c>
      <c r="AE125" s="4">
        <f t="shared" si="35"/>
        <v>3.681964547242927</v>
      </c>
      <c r="AF125" s="6">
        <f t="shared" si="83"/>
        <v>934.186038332791</v>
      </c>
      <c r="AG125" s="30">
        <f t="shared" si="66"/>
        <v>0.11955993467502667</v>
      </c>
      <c r="AH125" s="27">
        <v>0</v>
      </c>
      <c r="AI125" s="47">
        <f t="shared" si="67"/>
        <v>1.975</v>
      </c>
      <c r="AJ125" s="4">
        <f t="shared" si="36"/>
        <v>2.058842279800091</v>
      </c>
      <c r="AK125" s="4">
        <f t="shared" si="68"/>
        <v>123.69960739219069</v>
      </c>
      <c r="AL125" s="4">
        <f t="shared" si="37"/>
        <v>-0.08384227980009085</v>
      </c>
      <c r="AM125" s="5">
        <f t="shared" si="56"/>
        <v>254.67798169371406</v>
      </c>
      <c r="AN125" s="26">
        <f t="shared" si="69"/>
        <v>-0.06405468591202634</v>
      </c>
      <c r="AO125" s="4">
        <f t="shared" si="38"/>
        <v>1.371345579631248</v>
      </c>
      <c r="AP125" s="21">
        <f t="shared" si="78"/>
        <v>4.2</v>
      </c>
      <c r="AQ125" s="21">
        <f t="shared" si="79"/>
        <v>89.9</v>
      </c>
      <c r="AR125" s="21">
        <f t="shared" si="80"/>
        <v>19.18</v>
      </c>
      <c r="AS125" s="35">
        <f t="shared" si="39"/>
        <v>0.15780947681027052</v>
      </c>
      <c r="AT125" s="36">
        <f t="shared" si="71"/>
        <v>0.31579243273516466</v>
      </c>
      <c r="AU125" s="4">
        <f t="shared" si="72"/>
        <v>26.359691926013053</v>
      </c>
      <c r="AV125" s="4">
        <f t="shared" si="73"/>
        <v>0.05710706089254822</v>
      </c>
      <c r="AW125" s="4">
        <f t="shared" si="74"/>
        <v>0.005977996733751334</v>
      </c>
      <c r="AX125" s="21">
        <f t="shared" si="84"/>
        <v>4.935</v>
      </c>
      <c r="AY125" s="36">
        <f t="shared" si="75"/>
        <v>-0.02911504424778761</v>
      </c>
      <c r="AZ125" s="36">
        <f t="shared" si="76"/>
        <v>-0.09248291217574306</v>
      </c>
      <c r="BA125" s="36">
        <f t="shared" si="77"/>
        <v>-0.010333333333333335</v>
      </c>
      <c r="BB125" s="6">
        <f t="shared" si="50"/>
        <v>0.056018310028820406</v>
      </c>
      <c r="BC125" s="6">
        <f t="shared" si="57"/>
        <v>0.0002364507558314105</v>
      </c>
      <c r="BD125" s="4">
        <f t="shared" si="51"/>
        <v>0.8276673038397978</v>
      </c>
      <c r="BE125" s="4">
        <f>SUMPRODUCT(BC$4:BC125,$BD$233:BD$354)</f>
        <v>0.047396865126363485</v>
      </c>
      <c r="BF125" s="23">
        <f t="shared" si="59"/>
        <v>0.047396865126363485</v>
      </c>
      <c r="BG125" s="48"/>
    </row>
    <row r="126" spans="5:59" ht="15">
      <c r="E126" s="1">
        <f t="shared" si="52"/>
        <v>122</v>
      </c>
      <c r="F126" s="1">
        <f t="shared" si="40"/>
        <v>1872</v>
      </c>
      <c r="G126" s="3">
        <f t="shared" si="81"/>
        <v>0.09899999999999999</v>
      </c>
      <c r="H126" s="3">
        <f t="shared" si="82"/>
        <v>0.11420000000000012</v>
      </c>
      <c r="I126" s="5">
        <f t="shared" si="41"/>
        <v>0.04254736772598119</v>
      </c>
      <c r="J126" s="5">
        <f t="shared" si="53"/>
        <v>0.058994444809579376</v>
      </c>
      <c r="K126" s="4">
        <f t="shared" si="42"/>
        <v>0.11165818746443953</v>
      </c>
      <c r="L126" s="4">
        <f t="shared" si="43"/>
        <v>0.0003000781555856491</v>
      </c>
      <c r="M126" s="4">
        <f t="shared" si="60"/>
        <v>0.22988357167424084</v>
      </c>
      <c r="N126" s="4">
        <f t="shared" si="44"/>
        <v>6.898303818744755E-05</v>
      </c>
      <c r="O126" s="4">
        <f>SUMPRODUCT($M$4:M126,L$232:$L$354)</f>
        <v>0.13955550999198277</v>
      </c>
      <c r="P126" s="4">
        <f t="shared" si="45"/>
        <v>0.09032806168225807</v>
      </c>
      <c r="Q126" s="4">
        <f t="shared" si="61"/>
        <v>2.029751066829953</v>
      </c>
      <c r="R126" s="4">
        <f t="shared" si="62"/>
        <v>2.6612439562109547</v>
      </c>
      <c r="S126" s="4">
        <f t="shared" si="58"/>
        <v>0.03762985562766972</v>
      </c>
      <c r="T126" s="5">
        <f t="shared" si="63"/>
        <v>283.22851638988976</v>
      </c>
      <c r="U126" s="4">
        <f t="shared" si="46"/>
        <v>283.76300605986455</v>
      </c>
      <c r="V126" s="4">
        <f t="shared" si="32"/>
        <v>0.002219952441019001</v>
      </c>
      <c r="W126" s="4">
        <f>SUMPRODUCT($J$4:J126,$S$232:S$354)</f>
        <v>0.33046107707359507</v>
      </c>
      <c r="X126" s="6">
        <f t="shared" si="64"/>
        <v>0.07142143486975543</v>
      </c>
      <c r="Y126" s="4">
        <f t="shared" si="47"/>
        <v>1872</v>
      </c>
      <c r="Z126" s="4">
        <f t="shared" si="54"/>
        <v>122</v>
      </c>
      <c r="AA126" s="21">
        <f t="shared" si="48"/>
        <v>45.14</v>
      </c>
      <c r="AB126" s="6">
        <f t="shared" si="65"/>
        <v>151.4753745</v>
      </c>
      <c r="AC126" s="24">
        <f t="shared" si="33"/>
        <v>147.78433660767357</v>
      </c>
      <c r="AD126" s="4">
        <f t="shared" si="34"/>
        <v>6.3461935439735635</v>
      </c>
      <c r="AE126" s="4">
        <f t="shared" si="35"/>
        <v>3.6910378923264204</v>
      </c>
      <c r="AF126" s="6">
        <f t="shared" si="83"/>
        <v>937.8680028800339</v>
      </c>
      <c r="AG126" s="30">
        <f t="shared" si="66"/>
        <v>0.12172618242509625</v>
      </c>
      <c r="AH126" s="27">
        <v>0</v>
      </c>
      <c r="AI126" s="47">
        <f t="shared" si="67"/>
        <v>1.975</v>
      </c>
      <c r="AJ126" s="4">
        <f t="shared" si="36"/>
        <v>2.0581644904233287</v>
      </c>
      <c r="AK126" s="4">
        <f t="shared" si="68"/>
        <v>123.69960739219069</v>
      </c>
      <c r="AL126" s="4">
        <f t="shared" si="37"/>
        <v>-0.08316449042332863</v>
      </c>
      <c r="AM126" s="5">
        <f t="shared" si="56"/>
        <v>254.59413941391398</v>
      </c>
      <c r="AN126" s="26">
        <f t="shared" si="69"/>
        <v>-0.06436993539096178</v>
      </c>
      <c r="AO126" s="4">
        <f t="shared" si="38"/>
        <v>1.3690971064023314</v>
      </c>
      <c r="AP126" s="21">
        <f t="shared" si="78"/>
        <v>4.4</v>
      </c>
      <c r="AQ126" s="21">
        <f t="shared" si="79"/>
        <v>91.8</v>
      </c>
      <c r="AR126" s="21">
        <f t="shared" si="80"/>
        <v>19.76</v>
      </c>
      <c r="AS126" s="35">
        <f t="shared" si="39"/>
        <v>0.15757477188032099</v>
      </c>
      <c r="AT126" s="36">
        <f t="shared" si="71"/>
        <v>0.31415147615182026</v>
      </c>
      <c r="AU126" s="4">
        <f t="shared" si="72"/>
        <v>26.40836399762781</v>
      </c>
      <c r="AV126" s="4">
        <f t="shared" si="73"/>
        <v>0.05915128790036799</v>
      </c>
      <c r="AW126" s="4">
        <f t="shared" si="74"/>
        <v>0.006086309121254812</v>
      </c>
      <c r="AX126" s="21">
        <f t="shared" si="84"/>
        <v>5.17</v>
      </c>
      <c r="AY126" s="36">
        <f t="shared" si="75"/>
        <v>-0.030501474926253686</v>
      </c>
      <c r="AZ126" s="36">
        <f t="shared" si="76"/>
        <v>-0.09664064682328397</v>
      </c>
      <c r="BA126" s="36">
        <f t="shared" si="77"/>
        <v>-0.010551724137931035</v>
      </c>
      <c r="BB126" s="6">
        <f t="shared" si="50"/>
        <v>0.05632143303804403</v>
      </c>
      <c r="BC126" s="6">
        <f t="shared" si="57"/>
        <v>0.00030312300922362423</v>
      </c>
      <c r="BD126" s="4">
        <f t="shared" si="51"/>
        <v>0.827275187077646</v>
      </c>
      <c r="BE126" s="4">
        <f>SUMPRODUCT(BC$4:BC126,$BD$232:BD$354)</f>
        <v>0.04779131527052878</v>
      </c>
      <c r="BF126" s="23">
        <f t="shared" si="59"/>
        <v>0.04779131527052878</v>
      </c>
      <c r="BG126" s="48"/>
    </row>
    <row r="127" spans="5:59" ht="15">
      <c r="E127" s="1">
        <f t="shared" si="52"/>
        <v>123</v>
      </c>
      <c r="F127" s="1">
        <f t="shared" si="40"/>
        <v>1873</v>
      </c>
      <c r="G127" s="3">
        <f t="shared" si="81"/>
        <v>0.1035</v>
      </c>
      <c r="H127" s="3">
        <f t="shared" si="82"/>
        <v>0.11530000000000012</v>
      </c>
      <c r="I127" s="5">
        <f t="shared" si="41"/>
        <v>0.04372058687217332</v>
      </c>
      <c r="J127" s="5">
        <f t="shared" si="53"/>
        <v>0.06113707820842568</v>
      </c>
      <c r="K127" s="4">
        <f t="shared" si="42"/>
        <v>0.11394233491940112</v>
      </c>
      <c r="L127" s="4">
        <f t="shared" si="43"/>
        <v>0.00030310018159150355</v>
      </c>
      <c r="M127" s="4">
        <f t="shared" si="60"/>
        <v>0.23665815381885452</v>
      </c>
      <c r="N127" s="4">
        <f t="shared" si="44"/>
        <v>7.173112939760478E-05</v>
      </c>
      <c r="O127" s="4">
        <f>SUMPRODUCT($M$4:M127,L$231:$L$354)</f>
        <v>0.14383934788923056</v>
      </c>
      <c r="P127" s="4">
        <f t="shared" si="45"/>
        <v>0.09281880592962397</v>
      </c>
      <c r="Q127" s="4">
        <f t="shared" si="61"/>
        <v>2.0959630744778295</v>
      </c>
      <c r="R127" s="4">
        <f t="shared" si="62"/>
        <v>2.7485873599438864</v>
      </c>
      <c r="S127" s="4">
        <f t="shared" si="58"/>
        <v>0.03770744813272576</v>
      </c>
      <c r="T127" s="5">
        <f t="shared" si="63"/>
        <v>283.32076231876067</v>
      </c>
      <c r="U127" s="4">
        <f t="shared" si="46"/>
        <v>283.874664247329</v>
      </c>
      <c r="V127" s="4">
        <f t="shared" si="32"/>
        <v>0.0023053232055306096</v>
      </c>
      <c r="W127" s="4">
        <f>SUMPRODUCT($J$4:J127,$S$231:S$354)</f>
        <v>0.3411737148685571</v>
      </c>
      <c r="X127" s="6">
        <f t="shared" si="64"/>
        <v>0.0735261976150332</v>
      </c>
      <c r="Y127" s="4">
        <f t="shared" si="47"/>
        <v>1873</v>
      </c>
      <c r="Z127" s="4">
        <f t="shared" si="54"/>
        <v>123</v>
      </c>
      <c r="AA127" s="21">
        <f t="shared" si="48"/>
        <v>45.51</v>
      </c>
      <c r="AB127" s="6">
        <f t="shared" si="65"/>
        <v>151.8453745</v>
      </c>
      <c r="AC127" s="24">
        <f t="shared" si="33"/>
        <v>148.14557315733435</v>
      </c>
      <c r="AD127" s="4">
        <f t="shared" si="34"/>
        <v>6.355633993682693</v>
      </c>
      <c r="AE127" s="4">
        <f t="shared" si="35"/>
        <v>3.699801342665637</v>
      </c>
      <c r="AF127" s="6">
        <f t="shared" si="83"/>
        <v>941.5590407723604</v>
      </c>
      <c r="AG127" s="30">
        <f t="shared" si="66"/>
        <v>0.12389350462820616</v>
      </c>
      <c r="AH127" s="27">
        <v>0</v>
      </c>
      <c r="AI127" s="47">
        <f t="shared" si="67"/>
        <v>1.975</v>
      </c>
      <c r="AJ127" s="4">
        <f t="shared" si="36"/>
        <v>2.0574921803636887</v>
      </c>
      <c r="AK127" s="4">
        <f t="shared" si="68"/>
        <v>123.69960739219069</v>
      </c>
      <c r="AL127" s="4">
        <f t="shared" si="37"/>
        <v>-0.08249218036368866</v>
      </c>
      <c r="AM127" s="5">
        <f t="shared" si="56"/>
        <v>254.51097492349066</v>
      </c>
      <c r="AN127" s="26">
        <f t="shared" si="69"/>
        <v>-0.06468268764654411</v>
      </c>
      <c r="AO127" s="4">
        <f t="shared" si="38"/>
        <v>1.366854846245458</v>
      </c>
      <c r="AP127" s="21">
        <f t="shared" si="78"/>
        <v>4.6000000000000005</v>
      </c>
      <c r="AQ127" s="21">
        <f t="shared" si="79"/>
        <v>93.69999999999999</v>
      </c>
      <c r="AR127" s="21">
        <f t="shared" si="80"/>
        <v>20.34</v>
      </c>
      <c r="AS127" s="35">
        <f t="shared" si="39"/>
        <v>0.15734071549651374</v>
      </c>
      <c r="AT127" s="36">
        <f t="shared" si="71"/>
        <v>0.31251236793815285</v>
      </c>
      <c r="AU127" s="4">
        <f t="shared" si="72"/>
        <v>26.457007188466363</v>
      </c>
      <c r="AV127" s="4">
        <f t="shared" si="73"/>
        <v>0.061194301915587265</v>
      </c>
      <c r="AW127" s="4">
        <f t="shared" si="74"/>
        <v>0.006194675231410308</v>
      </c>
      <c r="AX127" s="21">
        <f t="shared" si="84"/>
        <v>5.404999999999999</v>
      </c>
      <c r="AY127" s="36">
        <f t="shared" si="75"/>
        <v>-0.03188790560471976</v>
      </c>
      <c r="AZ127" s="36">
        <f t="shared" si="76"/>
        <v>-0.10077771910394145</v>
      </c>
      <c r="BA127" s="36">
        <f t="shared" si="77"/>
        <v>-0.010770114942528735</v>
      </c>
      <c r="BB127" s="6">
        <f t="shared" si="50"/>
        <v>0.056690252092502905</v>
      </c>
      <c r="BC127" s="6">
        <f t="shared" si="57"/>
        <v>0.0003688190544588743</v>
      </c>
      <c r="BD127" s="4">
        <f t="shared" si="51"/>
        <v>0.8268821776865923</v>
      </c>
      <c r="BE127" s="4">
        <f>SUMPRODUCT(BC$4:BC127,$BD$231:BD$354)</f>
        <v>0.04817741431727388</v>
      </c>
      <c r="BF127" s="23">
        <f t="shared" si="59"/>
        <v>0.04817741431727388</v>
      </c>
      <c r="BG127" s="48"/>
    </row>
    <row r="128" spans="5:59" ht="15">
      <c r="E128" s="1">
        <f t="shared" si="52"/>
        <v>124</v>
      </c>
      <c r="F128" s="1">
        <f t="shared" si="40"/>
        <v>1874</v>
      </c>
      <c r="G128" s="3">
        <f t="shared" si="81"/>
        <v>0.10799999999999998</v>
      </c>
      <c r="H128" s="3">
        <f t="shared" si="82"/>
        <v>0.11640000000000013</v>
      </c>
      <c r="I128" s="5">
        <f t="shared" si="41"/>
        <v>0.04490589863332634</v>
      </c>
      <c r="J128" s="5">
        <f t="shared" si="53"/>
        <v>0.06328577059856663</v>
      </c>
      <c r="K128" s="4">
        <f t="shared" si="42"/>
        <v>0.11620833076810713</v>
      </c>
      <c r="L128" s="4">
        <f t="shared" si="43"/>
        <v>0.00030615289685244514</v>
      </c>
      <c r="M128" s="4">
        <f t="shared" si="60"/>
        <v>0.24356857445858954</v>
      </c>
      <c r="N128" s="4">
        <f t="shared" si="44"/>
        <v>7.456922465271766E-05</v>
      </c>
      <c r="O128" s="4">
        <f>SUMPRODUCT($M$4:M128,L$230:$L$354)</f>
        <v>0.1482333516600377</v>
      </c>
      <c r="P128" s="4">
        <f t="shared" si="45"/>
        <v>0.09533522279855183</v>
      </c>
      <c r="Q128" s="4">
        <f t="shared" si="61"/>
        <v>2.1639084235862076</v>
      </c>
      <c r="R128" s="4">
        <f t="shared" si="62"/>
        <v>2.838252397144658</v>
      </c>
      <c r="S128" s="4">
        <f t="shared" si="58"/>
        <v>0.037785584385171114</v>
      </c>
      <c r="T128" s="5">
        <f t="shared" si="63"/>
        <v>283.4152375006254</v>
      </c>
      <c r="U128" s="4">
        <f t="shared" si="46"/>
        <v>283.9886065822484</v>
      </c>
      <c r="V128" s="4">
        <f t="shared" si="32"/>
        <v>0.0023912898253327206</v>
      </c>
      <c r="W128" s="4">
        <f>SUMPRODUCT($J$4:J128,$S$230:S$354)</f>
        <v>0.3521527159446268</v>
      </c>
      <c r="X128" s="6">
        <f t="shared" si="64"/>
        <v>0.07567316337708792</v>
      </c>
      <c r="Y128" s="4">
        <f t="shared" si="47"/>
        <v>1874</v>
      </c>
      <c r="Z128" s="4">
        <f t="shared" si="54"/>
        <v>124</v>
      </c>
      <c r="AA128" s="21">
        <f t="shared" si="48"/>
        <v>45.88</v>
      </c>
      <c r="AB128" s="6">
        <f t="shared" si="65"/>
        <v>152.2153745</v>
      </c>
      <c r="AC128" s="24">
        <f t="shared" si="33"/>
        <v>148.50708371011496</v>
      </c>
      <c r="AD128" s="4">
        <f t="shared" si="34"/>
        <v>6.365075782917981</v>
      </c>
      <c r="AE128" s="4">
        <f t="shared" si="35"/>
        <v>3.708290789885041</v>
      </c>
      <c r="AF128" s="6">
        <f t="shared" si="83"/>
        <v>945.258842115026</v>
      </c>
      <c r="AG128" s="30">
        <f t="shared" si="66"/>
        <v>0.1260617135416206</v>
      </c>
      <c r="AH128" s="27">
        <v>0</v>
      </c>
      <c r="AI128" s="47">
        <f t="shared" si="67"/>
        <v>1.975</v>
      </c>
      <c r="AJ128" s="4">
        <f t="shared" si="36"/>
        <v>2.0568253053258223</v>
      </c>
      <c r="AK128" s="4">
        <f t="shared" si="68"/>
        <v>123.69960739219069</v>
      </c>
      <c r="AL128" s="4">
        <f t="shared" si="37"/>
        <v>-0.08182530532582222</v>
      </c>
      <c r="AM128" s="5">
        <f t="shared" si="56"/>
        <v>254.42848274312698</v>
      </c>
      <c r="AN128" s="26">
        <f t="shared" si="69"/>
        <v>-0.0649929620654774</v>
      </c>
      <c r="AO128" s="4">
        <f t="shared" si="38"/>
        <v>1.3646189206230712</v>
      </c>
      <c r="AP128" s="21">
        <f t="shared" si="78"/>
        <v>4.800000000000001</v>
      </c>
      <c r="AQ128" s="21">
        <f t="shared" si="79"/>
        <v>95.6</v>
      </c>
      <c r="AR128" s="21">
        <f t="shared" si="80"/>
        <v>20.919999999999998</v>
      </c>
      <c r="AS128" s="35">
        <f t="shared" si="39"/>
        <v>0.15710732033760072</v>
      </c>
      <c r="AT128" s="36">
        <f t="shared" si="71"/>
        <v>0.3108752106284858</v>
      </c>
      <c r="AU128" s="4">
        <f t="shared" si="72"/>
        <v>26.505619896429913</v>
      </c>
      <c r="AV128" s="4">
        <f t="shared" si="73"/>
        <v>0.06323603565005634</v>
      </c>
      <c r="AW128" s="4">
        <f t="shared" si="74"/>
        <v>0.00630308567708103</v>
      </c>
      <c r="AX128" s="21">
        <f t="shared" si="84"/>
        <v>5.64</v>
      </c>
      <c r="AY128" s="36">
        <f t="shared" si="75"/>
        <v>-0.033274336283185844</v>
      </c>
      <c r="AZ128" s="36">
        <f t="shared" si="76"/>
        <v>-0.1048943333708558</v>
      </c>
      <c r="BA128" s="36">
        <f t="shared" si="77"/>
        <v>-0.010988505747126436</v>
      </c>
      <c r="BB128" s="6">
        <f t="shared" si="50"/>
        <v>0.05712386077920041</v>
      </c>
      <c r="BC128" s="6">
        <f t="shared" si="57"/>
        <v>0.0004336086866975064</v>
      </c>
      <c r="BD128" s="4">
        <f t="shared" si="51"/>
        <v>0.826488273603916</v>
      </c>
      <c r="BE128" s="4">
        <f>SUMPRODUCT(BC$4:BC128,$BD$230:BD$354)</f>
        <v>0.048558900092382694</v>
      </c>
      <c r="BF128" s="23">
        <f t="shared" si="59"/>
        <v>0.048558900092382694</v>
      </c>
      <c r="BG128" s="48"/>
    </row>
    <row r="129" spans="5:59" ht="15">
      <c r="E129" s="1">
        <f t="shared" si="52"/>
        <v>125</v>
      </c>
      <c r="F129" s="1">
        <f t="shared" si="40"/>
        <v>1875</v>
      </c>
      <c r="G129" s="3">
        <f t="shared" si="81"/>
        <v>0.11249999999999999</v>
      </c>
      <c r="H129" s="3">
        <f t="shared" si="82"/>
        <v>0.11750000000000013</v>
      </c>
      <c r="I129" s="5">
        <f t="shared" si="41"/>
        <v>0.04610291453246325</v>
      </c>
      <c r="J129" s="5">
        <f t="shared" si="53"/>
        <v>0.0654396808465512</v>
      </c>
      <c r="K129" s="4">
        <f t="shared" si="42"/>
        <v>0.11845740462098565</v>
      </c>
      <c r="L129" s="4">
        <f t="shared" si="43"/>
        <v>0.00030923662607348646</v>
      </c>
      <c r="M129" s="4">
        <f t="shared" si="60"/>
        <v>0.25061356884867125</v>
      </c>
      <c r="N129" s="4">
        <f t="shared" si="44"/>
        <v>7.74988944789985E-05</v>
      </c>
      <c r="O129" s="4">
        <f>SUMPRODUCT($M$4:M129,L$229:$L$354)</f>
        <v>0.15273708129625177</v>
      </c>
      <c r="P129" s="4">
        <f t="shared" si="45"/>
        <v>0.09787648755241948</v>
      </c>
      <c r="Q129" s="4">
        <f t="shared" si="61"/>
        <v>2.2335431928421636</v>
      </c>
      <c r="R129" s="4">
        <f t="shared" si="62"/>
        <v>2.9301838104738764</v>
      </c>
      <c r="S129" s="4">
        <f t="shared" si="58"/>
        <v>0.03786426984215071</v>
      </c>
      <c r="T129" s="5">
        <f t="shared" si="63"/>
        <v>283.5119314045468</v>
      </c>
      <c r="U129" s="4">
        <f t="shared" si="46"/>
        <v>284.1048149130165</v>
      </c>
      <c r="V129" s="4">
        <f t="shared" si="32"/>
        <v>0.002477825733958036</v>
      </c>
      <c r="W129" s="4">
        <f>SUMPRODUCT($J$4:J129,$S$229:S$354)</f>
        <v>0.36339156460210625</v>
      </c>
      <c r="X129" s="6">
        <f t="shared" si="64"/>
        <v>0.07786193921837346</v>
      </c>
      <c r="Y129" s="4">
        <f t="shared" si="47"/>
        <v>1875</v>
      </c>
      <c r="Z129" s="4">
        <f t="shared" si="54"/>
        <v>125</v>
      </c>
      <c r="AA129" s="21">
        <f t="shared" si="48"/>
        <v>46.25</v>
      </c>
      <c r="AB129" s="6">
        <f t="shared" si="65"/>
        <v>152.5853745</v>
      </c>
      <c r="AC129" s="24">
        <f t="shared" si="33"/>
        <v>148.86883657449408</v>
      </c>
      <c r="AD129" s="4">
        <f t="shared" si="34"/>
        <v>6.3745183662401175</v>
      </c>
      <c r="AE129" s="4">
        <f t="shared" si="35"/>
        <v>3.716537925505918</v>
      </c>
      <c r="AF129" s="6">
        <f t="shared" si="83"/>
        <v>948.9671329049111</v>
      </c>
      <c r="AG129" s="30">
        <f t="shared" si="66"/>
        <v>0.12823064386039099</v>
      </c>
      <c r="AH129" s="27">
        <v>0</v>
      </c>
      <c r="AI129" s="47">
        <f t="shared" si="67"/>
        <v>1.975</v>
      </c>
      <c r="AJ129" s="4">
        <f t="shared" si="36"/>
        <v>2.056163821372471</v>
      </c>
      <c r="AK129" s="4">
        <f t="shared" si="68"/>
        <v>123.69960739219069</v>
      </c>
      <c r="AL129" s="4">
        <f t="shared" si="37"/>
        <v>-0.08116382137247102</v>
      </c>
      <c r="AM129" s="5">
        <f t="shared" si="56"/>
        <v>254.34665743780116</v>
      </c>
      <c r="AN129" s="26">
        <f t="shared" si="69"/>
        <v>-0.06530077789006604</v>
      </c>
      <c r="AO129" s="4">
        <f t="shared" si="38"/>
        <v>1.36238943138998</v>
      </c>
      <c r="AP129" s="21">
        <f t="shared" si="78"/>
        <v>5</v>
      </c>
      <c r="AQ129" s="21">
        <f t="shared" si="79"/>
        <v>97.5</v>
      </c>
      <c r="AR129" s="21">
        <f t="shared" si="80"/>
        <v>21.5</v>
      </c>
      <c r="AS129" s="35">
        <f t="shared" si="39"/>
        <v>0.15687459703560788</v>
      </c>
      <c r="AT129" s="36">
        <f t="shared" si="71"/>
        <v>0.30924009298891014</v>
      </c>
      <c r="AU129" s="4">
        <f t="shared" si="72"/>
        <v>26.554200734548278</v>
      </c>
      <c r="AV129" s="4">
        <f t="shared" si="73"/>
        <v>0.06527643085102768</v>
      </c>
      <c r="AW129" s="4">
        <f t="shared" si="74"/>
        <v>0.006411532193019549</v>
      </c>
      <c r="AX129" s="21">
        <f t="shared" si="84"/>
        <v>5.875</v>
      </c>
      <c r="AY129" s="36">
        <f t="shared" si="75"/>
        <v>-0.03466076696165192</v>
      </c>
      <c r="AZ129" s="36">
        <f t="shared" si="76"/>
        <v>-0.10899069096046499</v>
      </c>
      <c r="BA129" s="36">
        <f t="shared" si="77"/>
        <v>-0.01120689655172414</v>
      </c>
      <c r="BB129" s="6">
        <f t="shared" si="50"/>
        <v>0.057621413758904574</v>
      </c>
      <c r="BC129" s="6">
        <f t="shared" si="57"/>
        <v>0.0004975529797041633</v>
      </c>
      <c r="BD129" s="4">
        <f t="shared" si="51"/>
        <v>0.8260934727599223</v>
      </c>
      <c r="BE129" s="4">
        <f>SUMPRODUCT(BC$4:BC129,$BD$229:BD$354)</f>
        <v>0.04893921867872409</v>
      </c>
      <c r="BF129" s="23">
        <f t="shared" si="59"/>
        <v>0.04893921867872409</v>
      </c>
      <c r="BG129" s="48"/>
    </row>
    <row r="130" spans="5:59" ht="15">
      <c r="E130" s="1">
        <f t="shared" si="52"/>
        <v>126</v>
      </c>
      <c r="F130" s="1">
        <f t="shared" si="40"/>
        <v>1876</v>
      </c>
      <c r="G130" s="3">
        <f t="shared" si="81"/>
        <v>0.11699999999999999</v>
      </c>
      <c r="H130" s="3">
        <f t="shared" si="82"/>
        <v>0.11860000000000014</v>
      </c>
      <c r="I130" s="5">
        <f t="shared" si="41"/>
        <v>0.04731126286196046</v>
      </c>
      <c r="J130" s="5">
        <f t="shared" si="53"/>
        <v>0.06759810738256551</v>
      </c>
      <c r="K130" s="4">
        <f t="shared" si="42"/>
        <v>0.12069062975547416</v>
      </c>
      <c r="L130" s="4">
        <f t="shared" si="43"/>
        <v>0.0003123516980573081</v>
      </c>
      <c r="M130" s="4">
        <f t="shared" si="60"/>
        <v>0.25779194550449386</v>
      </c>
      <c r="N130" s="4">
        <f t="shared" si="44"/>
        <v>8.052175192382568E-05</v>
      </c>
      <c r="O130" s="4">
        <f>SUMPRODUCT($M$4:M130,L$228:$L$354)</f>
        <v>0.15735013444855178</v>
      </c>
      <c r="P130" s="4">
        <f t="shared" si="45"/>
        <v>0.10044181105594208</v>
      </c>
      <c r="Q130" s="4">
        <f t="shared" si="61"/>
        <v>2.3048260561503757</v>
      </c>
      <c r="R130" s="4">
        <f t="shared" si="62"/>
        <v>3.024329746446454</v>
      </c>
      <c r="S130" s="4">
        <f t="shared" si="58"/>
        <v>0.037943510032622405</v>
      </c>
      <c r="T130" s="5">
        <f t="shared" si="63"/>
        <v>283.61083346475147</v>
      </c>
      <c r="U130" s="4">
        <f t="shared" si="46"/>
        <v>284.2232723176375</v>
      </c>
      <c r="V130" s="4">
        <f t="shared" si="32"/>
        <v>0.002564909465656661</v>
      </c>
      <c r="W130" s="4">
        <f>SUMPRODUCT($J$4:J130,$S$228:S$354)</f>
        <v>0.37488415415005305</v>
      </c>
      <c r="X130" s="6">
        <f t="shared" si="64"/>
        <v>0.08009215496219757</v>
      </c>
      <c r="Y130" s="4">
        <f t="shared" si="47"/>
        <v>1876</v>
      </c>
      <c r="Z130" s="4">
        <f t="shared" si="54"/>
        <v>126</v>
      </c>
      <c r="AA130" s="21">
        <f t="shared" si="48"/>
        <v>46.62</v>
      </c>
      <c r="AB130" s="6">
        <f t="shared" si="65"/>
        <v>152.9553745</v>
      </c>
      <c r="AC130" s="24">
        <f t="shared" si="33"/>
        <v>149.23080376220483</v>
      </c>
      <c r="AD130" s="4">
        <f t="shared" si="34"/>
        <v>6.38396126545356</v>
      </c>
      <c r="AE130" s="4">
        <f t="shared" si="35"/>
        <v>3.724570737795176</v>
      </c>
      <c r="AF130" s="6">
        <f t="shared" si="83"/>
        <v>952.683670830417</v>
      </c>
      <c r="AG130" s="30">
        <f t="shared" si="66"/>
        <v>0.1304001500502636</v>
      </c>
      <c r="AH130" s="27">
        <v>0</v>
      </c>
      <c r="AI130" s="47">
        <f t="shared" si="67"/>
        <v>1.975</v>
      </c>
      <c r="AJ130" s="4">
        <f t="shared" si="36"/>
        <v>2.0555076849215674</v>
      </c>
      <c r="AK130" s="4">
        <f t="shared" si="68"/>
        <v>123.69960739219069</v>
      </c>
      <c r="AL130" s="4">
        <f t="shared" si="37"/>
        <v>-0.08050768492156735</v>
      </c>
      <c r="AM130" s="5">
        <f t="shared" si="56"/>
        <v>254.26549361642867</v>
      </c>
      <c r="AN130" s="26">
        <f t="shared" si="69"/>
        <v>-0.06560615421919742</v>
      </c>
      <c r="AO130" s="4">
        <f t="shared" si="38"/>
        <v>1.3601664632240233</v>
      </c>
      <c r="AP130" s="21">
        <f t="shared" si="78"/>
        <v>5.2</v>
      </c>
      <c r="AQ130" s="21">
        <f t="shared" si="79"/>
        <v>99.4</v>
      </c>
      <c r="AR130" s="21">
        <f t="shared" si="80"/>
        <v>22.08</v>
      </c>
      <c r="AS130" s="35">
        <f t="shared" si="39"/>
        <v>0.15664255442955813</v>
      </c>
      <c r="AT130" s="36">
        <f t="shared" si="71"/>
        <v>0.3076070916871906</v>
      </c>
      <c r="AU130" s="4">
        <f t="shared" si="72"/>
        <v>26.602748504887643</v>
      </c>
      <c r="AV130" s="4">
        <f t="shared" si="73"/>
        <v>0.067315437205281</v>
      </c>
      <c r="AW130" s="4">
        <f t="shared" si="74"/>
        <v>0.006520007502513179</v>
      </c>
      <c r="AX130" s="21">
        <f t="shared" si="84"/>
        <v>6.109999999999999</v>
      </c>
      <c r="AY130" s="36">
        <f t="shared" si="75"/>
        <v>-0.036047197640117996</v>
      </c>
      <c r="AZ130" s="36">
        <f t="shared" si="76"/>
        <v>-0.11306699025159271</v>
      </c>
      <c r="BA130" s="36">
        <f t="shared" si="77"/>
        <v>-0.01142528735632184</v>
      </c>
      <c r="BB130" s="6">
        <f t="shared" si="50"/>
        <v>0.05818212025302538</v>
      </c>
      <c r="BC130" s="6">
        <f t="shared" si="57"/>
        <v>0.0005607064941208079</v>
      </c>
      <c r="BD130" s="4">
        <f t="shared" si="51"/>
        <v>0.8256977730777629</v>
      </c>
      <c r="BE130" s="4">
        <f>SUMPRODUCT(BC$4:BC130,$BD$228:BD$354)</f>
        <v>0.049321546892999286</v>
      </c>
      <c r="BF130" s="23">
        <f t="shared" si="59"/>
        <v>0.049321546892999286</v>
      </c>
      <c r="BG130" s="48"/>
    </row>
    <row r="131" spans="5:59" ht="15">
      <c r="E131" s="1">
        <f t="shared" si="52"/>
        <v>127</v>
      </c>
      <c r="F131" s="1">
        <f t="shared" si="40"/>
        <v>1877</v>
      </c>
      <c r="G131" s="3">
        <f t="shared" si="81"/>
        <v>0.1215</v>
      </c>
      <c r="H131" s="3">
        <f t="shared" si="82"/>
        <v>0.11970000000000014</v>
      </c>
      <c r="I131" s="5">
        <f t="shared" si="41"/>
        <v>0.048530586619312505</v>
      </c>
      <c r="J131" s="5">
        <f t="shared" si="53"/>
        <v>0.06976044140444593</v>
      </c>
      <c r="K131" s="4">
        <f t="shared" si="42"/>
        <v>0.1229089719762417</v>
      </c>
      <c r="L131" s="4">
        <f t="shared" si="43"/>
        <v>0.0003154984457882172</v>
      </c>
      <c r="M131" s="4">
        <f t="shared" si="60"/>
        <v>0.26510257667245507</v>
      </c>
      <c r="N131" s="4">
        <f t="shared" si="44"/>
        <v>8.363945091461126E-05</v>
      </c>
      <c r="O131" s="4">
        <f>SUMPRODUCT($M$4:M131,L$227:$L$354)</f>
        <v>0.1620721412796546</v>
      </c>
      <c r="P131" s="4">
        <f t="shared" si="45"/>
        <v>0.10303043539280046</v>
      </c>
      <c r="Q131" s="4">
        <f t="shared" si="61"/>
        <v>2.3777182815705022</v>
      </c>
      <c r="R131" s="4">
        <f t="shared" si="62"/>
        <v>3.1206417557247805</v>
      </c>
      <c r="S131" s="4">
        <f t="shared" si="58"/>
        <v>0.038023310558521956</v>
      </c>
      <c r="T131" s="5">
        <f t="shared" si="63"/>
        <v>283.7119333482687</v>
      </c>
      <c r="U131" s="4">
        <f t="shared" si="46"/>
        <v>284.343962947393</v>
      </c>
      <c r="V131" s="4">
        <f t="shared" si="32"/>
        <v>0.002652522928220821</v>
      </c>
      <c r="W131" s="4">
        <f>SUMPRODUCT($J$4:J131,$S$227:S$354)</f>
        <v>0.38662473750323945</v>
      </c>
      <c r="X131" s="6">
        <f t="shared" si="64"/>
        <v>0.08236346023215067</v>
      </c>
      <c r="Y131" s="4">
        <f t="shared" si="47"/>
        <v>1877</v>
      </c>
      <c r="Z131" s="4">
        <f t="shared" si="54"/>
        <v>127</v>
      </c>
      <c r="AA131" s="21">
        <f t="shared" si="48"/>
        <v>46.99</v>
      </c>
      <c r="AB131" s="6">
        <f t="shared" si="65"/>
        <v>153.3253745</v>
      </c>
      <c r="AC131" s="24">
        <f t="shared" si="33"/>
        <v>149.59296055076</v>
      </c>
      <c r="AD131" s="4">
        <f t="shared" si="34"/>
        <v>6.393404061574694</v>
      </c>
      <c r="AE131" s="4">
        <f t="shared" si="35"/>
        <v>3.732413949239998</v>
      </c>
      <c r="AF131" s="6">
        <f t="shared" si="83"/>
        <v>956.4082415682121</v>
      </c>
      <c r="AG131" s="30">
        <f t="shared" si="66"/>
        <v>0.13257010400052688</v>
      </c>
      <c r="AH131" s="27">
        <v>0</v>
      </c>
      <c r="AI131" s="47">
        <f t="shared" si="67"/>
        <v>1.975</v>
      </c>
      <c r="AJ131" s="4">
        <f t="shared" si="36"/>
        <v>2.054856852743367</v>
      </c>
      <c r="AK131" s="4">
        <f t="shared" si="68"/>
        <v>123.69960739219069</v>
      </c>
      <c r="AL131" s="4">
        <f t="shared" si="37"/>
        <v>-0.07985685274336696</v>
      </c>
      <c r="AM131" s="5">
        <f t="shared" si="56"/>
        <v>254.1849859315071</v>
      </c>
      <c r="AN131" s="26">
        <f t="shared" si="69"/>
        <v>-0.06590911000931818</v>
      </c>
      <c r="AO131" s="4">
        <f t="shared" si="38"/>
        <v>1.3579500857573417</v>
      </c>
      <c r="AP131" s="21">
        <f t="shared" si="78"/>
        <v>5.4</v>
      </c>
      <c r="AQ131" s="21">
        <f t="shared" si="79"/>
        <v>101.3</v>
      </c>
      <c r="AR131" s="21">
        <f t="shared" si="80"/>
        <v>22.66</v>
      </c>
      <c r="AS131" s="35">
        <f t="shared" si="39"/>
        <v>0.1564111997879421</v>
      </c>
      <c r="AT131" s="36">
        <f t="shared" si="71"/>
        <v>0.30597627275948136</v>
      </c>
      <c r="AU131" s="4">
        <f t="shared" si="72"/>
        <v>26.651262175633107</v>
      </c>
      <c r="AV131" s="4">
        <f t="shared" si="73"/>
        <v>0.0693530113765905</v>
      </c>
      <c r="AW131" s="4">
        <f t="shared" si="74"/>
        <v>0.006628505200026344</v>
      </c>
      <c r="AX131" s="21">
        <f t="shared" si="84"/>
        <v>6.345</v>
      </c>
      <c r="AY131" s="36">
        <f t="shared" si="75"/>
        <v>-0.03743362831858407</v>
      </c>
      <c r="AZ131" s="36">
        <f t="shared" si="76"/>
        <v>-0.11712342672309461</v>
      </c>
      <c r="BA131" s="36">
        <f t="shared" si="77"/>
        <v>-0.011643678160919541</v>
      </c>
      <c r="BB131" s="6">
        <f t="shared" si="50"/>
        <v>0.05880523759737798</v>
      </c>
      <c r="BC131" s="6">
        <f t="shared" si="57"/>
        <v>0.0006231173443525945</v>
      </c>
      <c r="BD131" s="4">
        <f t="shared" si="51"/>
        <v>0.8253011724732439</v>
      </c>
      <c r="BE131" s="4">
        <f>SUMPRODUCT(BC$4:BC131,$BD$227:BD$354)</f>
        <v>0.04970881294275255</v>
      </c>
      <c r="BF131" s="23">
        <f t="shared" si="59"/>
        <v>0.04970881294275255</v>
      </c>
      <c r="BG131" s="48"/>
    </row>
    <row r="132" spans="5:59" ht="15">
      <c r="E132" s="1">
        <f t="shared" si="52"/>
        <v>128</v>
      </c>
      <c r="F132" s="1">
        <f t="shared" si="40"/>
        <v>1878</v>
      </c>
      <c r="G132" s="3">
        <f t="shared" si="81"/>
        <v>0.126</v>
      </c>
      <c r="H132" s="3">
        <f t="shared" si="82"/>
        <v>0.12080000000000014</v>
      </c>
      <c r="I132" s="5">
        <f t="shared" si="41"/>
        <v>0.04976054267256841</v>
      </c>
      <c r="J132" s="5">
        <f t="shared" si="53"/>
        <v>0.07192617347516085</v>
      </c>
      <c r="K132" s="4">
        <f t="shared" si="42"/>
        <v>0.12511328385227088</v>
      </c>
      <c r="L132" s="4">
        <f t="shared" si="43"/>
        <v>0.00031867720651914376</v>
      </c>
      <c r="M132" s="4">
        <f aca="true" t="shared" si="85" ref="M132:M195">60*$B$8*LN(U132/$U$4)</f>
        <v>0.27254439177383777</v>
      </c>
      <c r="N132" s="4">
        <f t="shared" si="44"/>
        <v>8.685368542294573E-05</v>
      </c>
      <c r="O132" s="4">
        <f>SUMPRODUCT($M$4:M132,L$226:$L$354)</f>
        <v>0.16690275967997503</v>
      </c>
      <c r="P132" s="4">
        <f t="shared" si="45"/>
        <v>0.10564163209386274</v>
      </c>
      <c r="Q132" s="4">
        <f t="shared" si="61"/>
        <v>2.4521834179763475</v>
      </c>
      <c r="R132" s="4">
        <f t="shared" si="62"/>
        <v>3.219074381147431</v>
      </c>
      <c r="S132" s="4">
        <f t="shared" si="58"/>
        <v>0.038103677095953574</v>
      </c>
      <c r="T132" s="5">
        <f t="shared" si="63"/>
        <v>283.81522078768427</v>
      </c>
      <c r="U132" s="4">
        <f t="shared" si="46"/>
        <v>284.4668719193692</v>
      </c>
      <c r="V132" s="4">
        <f aca="true" t="shared" si="86" ref="V132:V195">J132*S132</f>
        <v>0.00274065168884507</v>
      </c>
      <c r="W132" s="4">
        <f>SUMPRODUCT($J$4:J132,$S$226:S$354)</f>
        <v>0.3986079158575849</v>
      </c>
      <c r="X132" s="6">
        <f t="shared" si="64"/>
        <v>0.08467552241521673</v>
      </c>
      <c r="Y132" s="4">
        <f t="shared" si="47"/>
        <v>1878</v>
      </c>
      <c r="Z132" s="4">
        <f t="shared" si="54"/>
        <v>128</v>
      </c>
      <c r="AA132" s="21">
        <f t="shared" si="48"/>
        <v>47.36</v>
      </c>
      <c r="AB132" s="6">
        <f t="shared" si="65"/>
        <v>153.6953745</v>
      </c>
      <c r="AC132" s="24">
        <f aca="true" t="shared" si="87" ref="AC132:AC195">AF132/AD132</f>
        <v>149.95528509818874</v>
      </c>
      <c r="AD132" s="4">
        <f aca="true" t="shared" si="88" ref="AD132:AD195">1/AS132</f>
        <v>6.402846387766625</v>
      </c>
      <c r="AE132" s="4">
        <f aca="true" t="shared" si="89" ref="AE132:AE195">AB132-AC132</f>
        <v>3.740089401811275</v>
      </c>
      <c r="AF132" s="6">
        <f t="shared" si="83"/>
        <v>960.1406555174522</v>
      </c>
      <c r="AG132" s="30">
        <f t="shared" si="66"/>
        <v>0.1347403929580693</v>
      </c>
      <c r="AH132" s="27">
        <v>0</v>
      </c>
      <c r="AI132" s="47">
        <f t="shared" si="67"/>
        <v>1.975</v>
      </c>
      <c r="AJ132" s="4">
        <f aca="true" t="shared" si="90" ref="AJ132:AJ195">AM132/AK132</f>
        <v>2.054211281957599</v>
      </c>
      <c r="AK132" s="4">
        <f aca="true" t="shared" si="91" ref="AK132:AK195">120*(AI132/$AI$254)^-0.055</f>
        <v>123.69960739219069</v>
      </c>
      <c r="AL132" s="4">
        <f aca="true" t="shared" si="92" ref="AL132:AL195">AI132-AJ132</f>
        <v>-0.07921128195759897</v>
      </c>
      <c r="AM132" s="5">
        <f t="shared" si="56"/>
        <v>254.10512907876372</v>
      </c>
      <c r="AN132" s="26">
        <f t="shared" si="69"/>
        <v>-0.06620966407540628</v>
      </c>
      <c r="AO132" s="4">
        <f aca="true" t="shared" si="93" ref="AO132:AO195">EXP(AT132)</f>
        <v>1.355740355445372</v>
      </c>
      <c r="AP132" s="21">
        <f t="shared" si="78"/>
        <v>5.6000000000000005</v>
      </c>
      <c r="AQ132" s="21">
        <f t="shared" si="79"/>
        <v>103.19999999999999</v>
      </c>
      <c r="AR132" s="21">
        <f t="shared" si="80"/>
        <v>23.24</v>
      </c>
      <c r="AS132" s="35">
        <f aca="true" t="shared" si="94" ref="AS132:AS195">AO132/9.58+1/68.2</f>
        <v>0.15618053900381165</v>
      </c>
      <c r="AT132" s="36">
        <f aca="true" t="shared" si="95" ref="AT132:AT195">-0.32*LN(AF132/$AF$254)+0.0042*(AI132-$AI$254)-0.000105*(AQ132-$AQ$254)-0.000315*(AR132-$AR$254)</f>
        <v>0.30434769289877267</v>
      </c>
      <c r="AU132" s="4">
        <f aca="true" t="shared" si="96" ref="AU132:AU195">$AU$254+5*LN(AF132/$AF$254)+0.125*(AP132-$AP$254)+0.0011*(AQ132-$AQ$254)+0.0033*(AR132-$AR$254)</f>
        <v>26.699740860956677</v>
      </c>
      <c r="AV132" s="4">
        <f aca="true" t="shared" si="97" ref="AV132:AV195">0.042*(AU132-$B$14)</f>
        <v>0.07138911616018043</v>
      </c>
      <c r="AW132" s="4">
        <f aca="true" t="shared" si="98" ref="AW132:AW195">0.05*0.036*(SQRT(AF132)-SQRT($B$12))</f>
        <v>0.006737019647903466</v>
      </c>
      <c r="AX132" s="21">
        <f t="shared" si="84"/>
        <v>6.58</v>
      </c>
      <c r="AY132" s="36">
        <f aca="true" t="shared" si="99" ref="AY132:AY195">-0.4*(AX132/$AX$254)</f>
        <v>-0.038820058997050155</v>
      </c>
      <c r="AZ132" s="36">
        <f aca="true" t="shared" si="100" ref="AZ132:AZ195">-0.8*LN(($B$15+AX132)/$B$15)*(LN(($B$15+$AX$254)/$B$15))^-1</f>
        <v>-0.1211601930101089</v>
      </c>
      <c r="BA132" s="36">
        <f aca="true" t="shared" si="101" ref="BA132:BA195">-0.1*(AQ132/$AQ$254)</f>
        <v>-0.01186206896551724</v>
      </c>
      <c r="BB132" s="6">
        <f t="shared" si="50"/>
        <v>0.059490066133287334</v>
      </c>
      <c r="BC132" s="6">
        <f t="shared" si="57"/>
        <v>0.000684828535909357</v>
      </c>
      <c r="BD132" s="4">
        <f t="shared" si="51"/>
        <v>0.8249036688546202</v>
      </c>
      <c r="BE132" s="4">
        <f>SUMPRODUCT(BC$4:BC132,$BD$226:BD$354)</f>
        <v>0.05010371538867376</v>
      </c>
      <c r="BF132" s="23">
        <f t="shared" si="59"/>
        <v>0.05010371538867376</v>
      </c>
      <c r="BG132" s="48"/>
    </row>
    <row r="133" spans="5:59" ht="15">
      <c r="E133" s="1">
        <f t="shared" si="52"/>
        <v>129</v>
      </c>
      <c r="F133" s="1">
        <f aca="true" t="shared" si="102" ref="F133:F196">1750+E133</f>
        <v>1879</v>
      </c>
      <c r="G133" s="3">
        <f t="shared" si="81"/>
        <v>0.13049999999999998</v>
      </c>
      <c r="H133" s="3">
        <f t="shared" si="82"/>
        <v>0.12190000000000015</v>
      </c>
      <c r="I133" s="5">
        <f aca="true" t="shared" si="103" ref="I133:I196">P133/2.123</f>
        <v>0.05100080053055747</v>
      </c>
      <c r="J133" s="5">
        <f t="shared" si="53"/>
        <v>0.07409486644481451</v>
      </c>
      <c r="K133" s="4">
        <f aca="true" t="shared" si="104" ref="K133:K196">G133+H133-I133-J133</f>
        <v>0.12730433302462812</v>
      </c>
      <c r="L133" s="4">
        <f aca="true" t="shared" si="105" ref="L133:L196">0.70211*EXP(-0.35*(350-E133))+0.013414*EXP(-(350-E133)/20)-0.71846*EXP(-55*(350-E133)/120)+0.0029323*EXP(-(350-E133)/100)</f>
        <v>0.0003218883218618173</v>
      </c>
      <c r="M133" s="4">
        <f t="shared" si="85"/>
        <v>0.28011637050920096</v>
      </c>
      <c r="N133" s="4">
        <f aca="true" t="shared" si="106" ref="N133:N196">L133*M133</f>
        <v>9.016618842922974E-05</v>
      </c>
      <c r="O133" s="4">
        <f>SUMPRODUCT($M$4:M133,L$225:$L$354)</f>
        <v>0.17184167098282743</v>
      </c>
      <c r="P133" s="4">
        <f aca="true" t="shared" si="107" ref="P133:P196">M133-O133</f>
        <v>0.10827469952637353</v>
      </c>
      <c r="Q133" s="4">
        <f t="shared" si="61"/>
        <v>2.5281872232293234</v>
      </c>
      <c r="R133" s="4">
        <f t="shared" si="62"/>
        <v>3.319585064705863</v>
      </c>
      <c r="S133" s="4">
        <f t="shared" si="58"/>
        <v>0.03818461539640712</v>
      </c>
      <c r="T133" s="5">
        <f t="shared" si="63"/>
        <v>283.9206857132315</v>
      </c>
      <c r="U133" s="4">
        <f aca="true" t="shared" si="108" ref="U133:U196">U132+K132</f>
        <v>284.5919852032215</v>
      </c>
      <c r="V133" s="4">
        <f t="shared" si="86"/>
        <v>0.002829283978043394</v>
      </c>
      <c r="W133" s="4">
        <f>SUMPRODUCT($J$4:J133,$S$225:S$354)</f>
        <v>0.4108286040452078</v>
      </c>
      <c r="X133" s="6">
        <f aca="true" t="shared" si="109" ref="X133:X166">5.35*LN(U133/$U$4)</f>
        <v>0.08702802451940912</v>
      </c>
      <c r="Y133" s="4">
        <f aca="true" t="shared" si="110" ref="Y133:Y196">1750+Z133</f>
        <v>1879</v>
      </c>
      <c r="Z133" s="4">
        <f t="shared" si="54"/>
        <v>129</v>
      </c>
      <c r="AA133" s="21">
        <f aca="true" t="shared" si="111" ref="AA133:AA196">0.37*Z133</f>
        <v>47.73</v>
      </c>
      <c r="AB133" s="6">
        <f aca="true" t="shared" si="112" ref="AB133:AB196">AA133+$B$16</f>
        <v>154.0653745</v>
      </c>
      <c r="AC133" s="24">
        <f t="shared" si="87"/>
        <v>150.31775810369203</v>
      </c>
      <c r="AD133" s="4">
        <f t="shared" si="88"/>
        <v>6.4122879231232295</v>
      </c>
      <c r="AE133" s="4">
        <f t="shared" si="89"/>
        <v>3.7476163963079614</v>
      </c>
      <c r="AF133" s="6">
        <f t="shared" si="83"/>
        <v>963.8807449192634</v>
      </c>
      <c r="AG133" s="30">
        <f t="shared" si="66"/>
        <v>0.13691091770864136</v>
      </c>
      <c r="AH133" s="27">
        <v>0</v>
      </c>
      <c r="AI133" s="47">
        <f aca="true" t="shared" si="113" ref="AI133:AI196">AH133+$B$17</f>
        <v>1.975</v>
      </c>
      <c r="AJ133" s="4">
        <f t="shared" si="90"/>
        <v>2.0535709300306406</v>
      </c>
      <c r="AK133" s="4">
        <f t="shared" si="91"/>
        <v>123.69960739219069</v>
      </c>
      <c r="AL133" s="4">
        <f t="shared" si="92"/>
        <v>-0.07857093003064053</v>
      </c>
      <c r="AM133" s="5">
        <f t="shared" si="56"/>
        <v>254.0259177968061</v>
      </c>
      <c r="AN133" s="26">
        <f aca="true" t="shared" si="114" ref="AN133:AN196">0.12*(SQRT(AM133)-SQRT($B$13))</f>
        <v>-0.06650783509193701</v>
      </c>
      <c r="AO133" s="4">
        <f t="shared" si="93"/>
        <v>1.353537317206055</v>
      </c>
      <c r="AP133" s="21">
        <f t="shared" si="78"/>
        <v>5.800000000000001</v>
      </c>
      <c r="AQ133" s="21">
        <f t="shared" si="79"/>
        <v>105.1</v>
      </c>
      <c r="AR133" s="21">
        <f t="shared" si="80"/>
        <v>23.82</v>
      </c>
      <c r="AS133" s="35">
        <f t="shared" si="94"/>
        <v>0.1559505767658871</v>
      </c>
      <c r="AT133" s="36">
        <f t="shared" si="95"/>
        <v>0.30272140058690666</v>
      </c>
      <c r="AU133" s="4">
        <f t="shared" si="96"/>
        <v>26.748183803329585</v>
      </c>
      <c r="AV133" s="4">
        <f t="shared" si="97"/>
        <v>0.07342371973984257</v>
      </c>
      <c r="AW133" s="4">
        <f t="shared" si="98"/>
        <v>0.0068455458854320686</v>
      </c>
      <c r="AX133" s="21">
        <f t="shared" si="84"/>
        <v>6.8149999999999995</v>
      </c>
      <c r="AY133" s="36">
        <f t="shared" si="99"/>
        <v>-0.040206489675516224</v>
      </c>
      <c r="AZ133" s="36">
        <f t="shared" si="100"/>
        <v>-0.12517747895894757</v>
      </c>
      <c r="BA133" s="36">
        <f t="shared" si="101"/>
        <v>-0.012080459770114942</v>
      </c>
      <c r="BB133" s="6">
        <f aca="true" t="shared" si="115" ref="BB133:BB196">BA133+AZ133+AY133+AW133+AV133+AN133+AG133+X133</f>
        <v>0.06023594435680939</v>
      </c>
      <c r="BC133" s="6">
        <f t="shared" si="57"/>
        <v>0.0007458782235220535</v>
      </c>
      <c r="BD133" s="4">
        <f aca="true" t="shared" si="116" ref="BD133:BD196">0.29*(1-EXP(-(350-E133)/440))+0.71*(1-EXP(-(350-E133)/14.4))</f>
        <v>0.8245052601223768</v>
      </c>
      <c r="BE133" s="4">
        <f>SUMPRODUCT(BC$4:BC133,$BD$225:BD$354)</f>
        <v>0.05050874059018709</v>
      </c>
      <c r="BF133" s="23">
        <f aca="true" t="shared" si="117" ref="BF133:BF196">BE133*$B$7</f>
        <v>0.05050874059018709</v>
      </c>
      <c r="BG133" s="48"/>
    </row>
    <row r="134" spans="5:59" ht="15">
      <c r="E134" s="1">
        <f aca="true" t="shared" si="118" ref="E134:E197">E133+1</f>
        <v>130</v>
      </c>
      <c r="F134" s="1">
        <f t="shared" si="102"/>
        <v>1880</v>
      </c>
      <c r="G134" s="3">
        <f t="shared" si="81"/>
        <v>0.13499999999999998</v>
      </c>
      <c r="H134" s="3">
        <f t="shared" si="82"/>
        <v>0.12300000000000015</v>
      </c>
      <c r="I134" s="5">
        <f t="shared" si="103"/>
        <v>0.05225104170330206</v>
      </c>
      <c r="J134" s="5">
        <f aca="true" t="shared" si="119" ref="J134:J197">(U134-T134)/9.06</f>
        <v>0.07626615511878428</v>
      </c>
      <c r="K134" s="4">
        <f t="shared" si="104"/>
        <v>0.12948280317791377</v>
      </c>
      <c r="L134" s="4">
        <f t="shared" si="105"/>
        <v>0.000325132137880272</v>
      </c>
      <c r="M134" s="4">
        <f t="shared" si="85"/>
        <v>0.28781753768606916</v>
      </c>
      <c r="N134" s="4">
        <f t="shared" si="106"/>
        <v>9.357873134730741E-05</v>
      </c>
      <c r="O134" s="4">
        <f>SUMPRODUCT($M$4:M134,L$224:$L$354)</f>
        <v>0.17688857614995887</v>
      </c>
      <c r="P134" s="4">
        <f t="shared" si="107"/>
        <v>0.11092896153611029</v>
      </c>
      <c r="Q134" s="4">
        <f aca="true" t="shared" si="120" ref="Q134:Q197">($B$5/($B$4*$B$6))*W133</f>
        <v>2.6056974444414287</v>
      </c>
      <c r="R134" s="4">
        <f aca="true" t="shared" si="121" ref="R134:R197">(1.558-1.399*$B$3*0.01)*Q134+(7.4706-0.20207*$B$3)*0.001*Q134^2-(1.2748-0.12015*$B$3)*0.00001*Q134^3+(2.4491-0.12639*$B$3)*0.0000001*Q134^4-(1.5468-0.15326*$B$3)*0.0000000001*Q134^5</f>
        <v>3.4221338590396932</v>
      </c>
      <c r="S134" s="4">
        <f t="shared" si="58"/>
        <v>0.038266131288002755</v>
      </c>
      <c r="T134" s="5">
        <f aca="true" t="shared" si="122" ref="T134:T197">($T$4+R134)*EXP(0.0423*BF133)</f>
        <v>284.02831817086997</v>
      </c>
      <c r="U134" s="4">
        <f t="shared" si="108"/>
        <v>284.71928953624615</v>
      </c>
      <c r="V134" s="4">
        <f t="shared" si="86"/>
        <v>0.0029184107046065825</v>
      </c>
      <c r="W134" s="4">
        <f>SUMPRODUCT($J$4:J134,$S$224:S$354)</f>
        <v>0.4232820154017227</v>
      </c>
      <c r="X134" s="6">
        <f t="shared" si="109"/>
        <v>0.08942066356681011</v>
      </c>
      <c r="Y134" s="4">
        <f t="shared" si="110"/>
        <v>1880</v>
      </c>
      <c r="Z134" s="4">
        <f aca="true" t="shared" si="123" ref="Z134:Z197">Z133+1</f>
        <v>130</v>
      </c>
      <c r="AA134" s="21">
        <f t="shared" si="111"/>
        <v>48.1</v>
      </c>
      <c r="AB134" s="6">
        <f t="shared" si="112"/>
        <v>154.4353745</v>
      </c>
      <c r="AC134" s="24">
        <f t="shared" si="87"/>
        <v>150.68036250869127</v>
      </c>
      <c r="AD134" s="4">
        <f t="shared" si="88"/>
        <v>6.421728387199483</v>
      </c>
      <c r="AE134" s="4">
        <f t="shared" si="89"/>
        <v>3.75501199130872</v>
      </c>
      <c r="AF134" s="6">
        <f t="shared" si="83"/>
        <v>967.6283613155714</v>
      </c>
      <c r="AG134" s="30">
        <f t="shared" si="66"/>
        <v>0.13908159097546424</v>
      </c>
      <c r="AH134" s="27">
        <v>0</v>
      </c>
      <c r="AI134" s="47">
        <f t="shared" si="113"/>
        <v>1.975</v>
      </c>
      <c r="AJ134" s="4">
        <f t="shared" si="90"/>
        <v>2.0529357547727147</v>
      </c>
      <c r="AK134" s="4">
        <f t="shared" si="91"/>
        <v>123.69960739219069</v>
      </c>
      <c r="AL134" s="4">
        <f t="shared" si="92"/>
        <v>-0.07793575477271464</v>
      </c>
      <c r="AM134" s="5">
        <f aca="true" t="shared" si="124" ref="AM134:AM197">AM133+AL133</f>
        <v>253.94734686677546</v>
      </c>
      <c r="AN134" s="26">
        <f t="shared" si="114"/>
        <v>-0.06680364159384418</v>
      </c>
      <c r="AO134" s="4">
        <f t="shared" si="93"/>
        <v>1.3513410058576953</v>
      </c>
      <c r="AP134" s="21">
        <f t="shared" si="78"/>
        <v>6</v>
      </c>
      <c r="AQ134" s="21">
        <f t="shared" si="79"/>
        <v>107</v>
      </c>
      <c r="AR134" s="21">
        <f t="shared" si="80"/>
        <v>24.4</v>
      </c>
      <c r="AS134" s="35">
        <f t="shared" si="94"/>
        <v>0.15572131670864706</v>
      </c>
      <c r="AT134" s="36">
        <f t="shared" si="95"/>
        <v>0.30109743708931147</v>
      </c>
      <c r="AU134" s="4">
        <f t="shared" si="96"/>
        <v>26.796590357979504</v>
      </c>
      <c r="AV134" s="4">
        <f t="shared" si="97"/>
        <v>0.07545679503513918</v>
      </c>
      <c r="AW134" s="4">
        <f t="shared" si="98"/>
        <v>0.006954079548773213</v>
      </c>
      <c r="AX134" s="21">
        <f t="shared" si="84"/>
        <v>7.05</v>
      </c>
      <c r="AY134" s="36">
        <f t="shared" si="99"/>
        <v>-0.0415929203539823</v>
      </c>
      <c r="AZ134" s="36">
        <f t="shared" si="100"/>
        <v>-0.12917547168067173</v>
      </c>
      <c r="BA134" s="36">
        <f t="shared" si="101"/>
        <v>-0.012298850574712646</v>
      </c>
      <c r="BB134" s="6">
        <f t="shared" si="115"/>
        <v>0.06104224492297591</v>
      </c>
      <c r="BC134" s="6">
        <f aca="true" t="shared" si="125" ref="BC134:BC197">BB134-BB133</f>
        <v>0.0008063005661665262</v>
      </c>
      <c r="BD134" s="4">
        <f t="shared" si="116"/>
        <v>0.8241059441689945</v>
      </c>
      <c r="BE134" s="4">
        <f>SUMPRODUCT(BC$4:BC134,$BD$224:BD$354)</f>
        <v>0.050926178748323</v>
      </c>
      <c r="BF134" s="23">
        <f t="shared" si="117"/>
        <v>0.050926178748323</v>
      </c>
      <c r="BG134" s="48"/>
    </row>
    <row r="135" spans="5:59" ht="15">
      <c r="E135" s="1">
        <f t="shared" si="118"/>
        <v>131</v>
      </c>
      <c r="F135" s="1">
        <f t="shared" si="102"/>
        <v>1881</v>
      </c>
      <c r="G135" s="3">
        <f t="shared" si="81"/>
        <v>0.13949999999999999</v>
      </c>
      <c r="H135" s="3">
        <f t="shared" si="82"/>
        <v>0.12410000000000015</v>
      </c>
      <c r="I135" s="5">
        <f t="shared" si="103"/>
        <v>0.053510958864729286</v>
      </c>
      <c r="J135" s="5">
        <f t="shared" si="119"/>
        <v>0.07843972979569712</v>
      </c>
      <c r="K135" s="4">
        <f t="shared" si="104"/>
        <v>0.13164931133957375</v>
      </c>
      <c r="L135" s="4">
        <f t="shared" si="105"/>
        <v>0.00032840900518784255</v>
      </c>
      <c r="M135" s="4">
        <f t="shared" si="85"/>
        <v>0.29564695811315944</v>
      </c>
      <c r="N135" s="4">
        <f t="shared" si="106"/>
        <v>9.709312340075445E-05</v>
      </c>
      <c r="O135" s="4">
        <f>SUMPRODUCT($M$4:M135,L$223:$L$354)</f>
        <v>0.18204319244333916</v>
      </c>
      <c r="P135" s="4">
        <f t="shared" si="107"/>
        <v>0.11360376566982028</v>
      </c>
      <c r="Q135" s="4">
        <f t="shared" si="120"/>
        <v>2.684683721995457</v>
      </c>
      <c r="R135" s="4">
        <f t="shared" si="121"/>
        <v>3.5266833024541917</v>
      </c>
      <c r="S135" s="4">
        <f t="shared" si="58"/>
        <v>0.038348230676763996</v>
      </c>
      <c r="T135" s="5">
        <f t="shared" si="122"/>
        <v>284.13810838747503</v>
      </c>
      <c r="U135" s="4">
        <f t="shared" si="108"/>
        <v>284.84877233942404</v>
      </c>
      <c r="V135" s="4">
        <f t="shared" si="86"/>
        <v>0.003008024852428431</v>
      </c>
      <c r="W135" s="4">
        <f>SUMPRODUCT($J$4:J135,$S$223:S$354)</f>
        <v>0.43596363588264764</v>
      </c>
      <c r="X135" s="6">
        <f t="shared" si="109"/>
        <v>0.0918531490072824</v>
      </c>
      <c r="Y135" s="4">
        <f t="shared" si="110"/>
        <v>1881</v>
      </c>
      <c r="Z135" s="4">
        <f t="shared" si="123"/>
        <v>131</v>
      </c>
      <c r="AA135" s="21">
        <f t="shared" si="111"/>
        <v>48.47</v>
      </c>
      <c r="AB135" s="6">
        <f t="shared" si="112"/>
        <v>154.8053745</v>
      </c>
      <c r="AC135" s="24">
        <f t="shared" si="87"/>
        <v>151.04308323341306</v>
      </c>
      <c r="AD135" s="4">
        <f t="shared" si="88"/>
        <v>6.431167535197634</v>
      </c>
      <c r="AE135" s="4">
        <f t="shared" si="89"/>
        <v>3.762291266586942</v>
      </c>
      <c r="AF135" s="6">
        <f t="shared" si="83"/>
        <v>971.3833733068801</v>
      </c>
      <c r="AG135" s="30">
        <f t="shared" si="66"/>
        <v>0.14125233600896192</v>
      </c>
      <c r="AH135" s="27">
        <v>0</v>
      </c>
      <c r="AI135" s="47">
        <f t="shared" si="113"/>
        <v>1.975</v>
      </c>
      <c r="AJ135" s="4">
        <f t="shared" si="90"/>
        <v>2.0523057143351116</v>
      </c>
      <c r="AK135" s="4">
        <f t="shared" si="91"/>
        <v>123.69960739219069</v>
      </c>
      <c r="AL135" s="4">
        <f t="shared" si="92"/>
        <v>-0.07730571433511146</v>
      </c>
      <c r="AM135" s="5">
        <f t="shared" si="124"/>
        <v>253.86941111200275</v>
      </c>
      <c r="AN135" s="26">
        <f t="shared" si="114"/>
        <v>-0.06709710197747654</v>
      </c>
      <c r="AO135" s="4">
        <f t="shared" si="93"/>
        <v>1.3491514473803765</v>
      </c>
      <c r="AP135" s="21">
        <f t="shared" si="78"/>
        <v>6.2</v>
      </c>
      <c r="AQ135" s="21">
        <f t="shared" si="79"/>
        <v>108.9</v>
      </c>
      <c r="AR135" s="21">
        <f t="shared" si="80"/>
        <v>24.98</v>
      </c>
      <c r="AS135" s="35">
        <f t="shared" si="94"/>
        <v>0.15549276154400002</v>
      </c>
      <c r="AT135" s="36">
        <f t="shared" si="95"/>
        <v>0.29947583732924093</v>
      </c>
      <c r="AU135" s="4">
        <f t="shared" si="96"/>
        <v>26.84495997923061</v>
      </c>
      <c r="AV135" s="4">
        <f t="shared" si="97"/>
        <v>0.07748831912768557</v>
      </c>
      <c r="AW135" s="4">
        <f t="shared" si="98"/>
        <v>0.0070626168004480966</v>
      </c>
      <c r="AX135" s="21">
        <f t="shared" si="84"/>
        <v>7.284999999999999</v>
      </c>
      <c r="AY135" s="36">
        <f t="shared" si="99"/>
        <v>-0.042979351032448376</v>
      </c>
      <c r="AZ135" s="36">
        <f t="shared" si="100"/>
        <v>-0.13315435560338515</v>
      </c>
      <c r="BA135" s="36">
        <f t="shared" si="101"/>
        <v>-0.012517241379310345</v>
      </c>
      <c r="BB135" s="6">
        <f t="shared" si="115"/>
        <v>0.061908370951757594</v>
      </c>
      <c r="BC135" s="6">
        <f t="shared" si="125"/>
        <v>0.0008661260287816802</v>
      </c>
      <c r="BD135" s="4">
        <f t="shared" si="116"/>
        <v>0.8237057188786998</v>
      </c>
      <c r="BE135" s="4">
        <f>SUMPRODUCT(BC$4:BC135,$BD$223:BD$354)</f>
        <v>0.051358138681056015</v>
      </c>
      <c r="BF135" s="23">
        <f t="shared" si="117"/>
        <v>0.051358138681056015</v>
      </c>
      <c r="BG135" s="48"/>
    </row>
    <row r="136" spans="5:59" ht="15">
      <c r="E136" s="1">
        <f t="shared" si="118"/>
        <v>132</v>
      </c>
      <c r="F136" s="1">
        <f t="shared" si="102"/>
        <v>1882</v>
      </c>
      <c r="G136" s="3">
        <f t="shared" si="81"/>
        <v>0.144</v>
      </c>
      <c r="H136" s="3">
        <f t="shared" si="82"/>
        <v>0.12520000000000014</v>
      </c>
      <c r="I136" s="5">
        <f t="shared" si="103"/>
        <v>0.054780255308916954</v>
      </c>
      <c r="J136" s="5">
        <f t="shared" si="119"/>
        <v>0.0806153333673989</v>
      </c>
      <c r="K136" s="4">
        <f t="shared" si="104"/>
        <v>0.13380441132368426</v>
      </c>
      <c r="L136" s="4">
        <f t="shared" si="105"/>
        <v>0.00033171927904781053</v>
      </c>
      <c r="M136" s="4">
        <f t="shared" si="85"/>
        <v>0.30360373254841583</v>
      </c>
      <c r="N136" s="4">
        <f t="shared" si="106"/>
        <v>0.00010071121127718479</v>
      </c>
      <c r="O136" s="4">
        <f>SUMPRODUCT($M$4:M136,L$222:$L$354)</f>
        <v>0.18730525052758512</v>
      </c>
      <c r="P136" s="4">
        <f t="shared" si="107"/>
        <v>0.1162984820208307</v>
      </c>
      <c r="Q136" s="4">
        <f t="shared" si="120"/>
        <v>2.765117425377235</v>
      </c>
      <c r="R136" s="4">
        <f t="shared" si="121"/>
        <v>3.6331982036834916</v>
      </c>
      <c r="S136" s="4">
        <f aca="true" t="shared" si="126" ref="S136:S199">0.022936+0.24278*EXP(-(350-E136)/1.2679)+0.13963*EXP(-(350-E136)/5.2528)+0.089318*EXP(-(350-E136)/18.601)+0.03782*EXP(-(350-E136)/68.736)+0.035549*EXP(-(350-E136)/232.3)</f>
        <v>0.03843091954792027</v>
      </c>
      <c r="T136" s="5">
        <f t="shared" si="122"/>
        <v>284.250046730455</v>
      </c>
      <c r="U136" s="4">
        <f t="shared" si="108"/>
        <v>284.9804216507636</v>
      </c>
      <c r="V136" s="4">
        <f t="shared" si="86"/>
        <v>0.0030981213909712798</v>
      </c>
      <c r="W136" s="4">
        <f>SUMPRODUCT($J$4:J136,$S$222:S$354)</f>
        <v>0.44886920846151146</v>
      </c>
      <c r="X136" s="6">
        <f t="shared" si="109"/>
        <v>0.09432520145958331</v>
      </c>
      <c r="Y136" s="4">
        <f t="shared" si="110"/>
        <v>1882</v>
      </c>
      <c r="Z136" s="4">
        <f t="shared" si="123"/>
        <v>132</v>
      </c>
      <c r="AA136" s="21">
        <f t="shared" si="111"/>
        <v>48.839999999999996</v>
      </c>
      <c r="AB136" s="6">
        <f t="shared" si="112"/>
        <v>155.1753745</v>
      </c>
      <c r="AC136" s="24">
        <f t="shared" si="87"/>
        <v>151.40590694474454</v>
      </c>
      <c r="AD136" s="4">
        <f t="shared" si="88"/>
        <v>6.440605153729871</v>
      </c>
      <c r="AE136" s="4">
        <f t="shared" si="89"/>
        <v>3.76946755525546</v>
      </c>
      <c r="AF136" s="6">
        <f t="shared" si="83"/>
        <v>975.145664573467</v>
      </c>
      <c r="AG136" s="30">
        <f aca="true" t="shared" si="127" ref="AG136:AG199">0.036*(SQRT(AF136)-SQRT($B$12))</f>
        <v>0.14342308534458587</v>
      </c>
      <c r="AH136" s="27">
        <v>0</v>
      </c>
      <c r="AI136" s="47">
        <f t="shared" si="113"/>
        <v>1.975</v>
      </c>
      <c r="AJ136" s="4">
        <f t="shared" si="90"/>
        <v>2.0516807672074298</v>
      </c>
      <c r="AK136" s="4">
        <f t="shared" si="91"/>
        <v>123.69960739219069</v>
      </c>
      <c r="AL136" s="4">
        <f t="shared" si="92"/>
        <v>-0.07668076720742967</v>
      </c>
      <c r="AM136" s="5">
        <f t="shared" si="124"/>
        <v>253.79210539766763</v>
      </c>
      <c r="AN136" s="26">
        <f t="shared" si="114"/>
        <v>-0.06738823450154748</v>
      </c>
      <c r="AO136" s="4">
        <f t="shared" si="93"/>
        <v>1.3469686600227209</v>
      </c>
      <c r="AP136" s="21">
        <f t="shared" si="78"/>
        <v>6.4</v>
      </c>
      <c r="AQ136" s="21">
        <f t="shared" si="79"/>
        <v>110.8</v>
      </c>
      <c r="AR136" s="21">
        <f t="shared" si="80"/>
        <v>25.56</v>
      </c>
      <c r="AS136" s="35">
        <f t="shared" si="94"/>
        <v>0.15526491317681257</v>
      </c>
      <c r="AT136" s="36">
        <f t="shared" si="95"/>
        <v>0.29785663065623685</v>
      </c>
      <c r="AU136" s="4">
        <f t="shared" si="96"/>
        <v>26.8932922084963</v>
      </c>
      <c r="AV136" s="4">
        <f t="shared" si="97"/>
        <v>0.07951827275684469</v>
      </c>
      <c r="AW136" s="4">
        <f t="shared" si="98"/>
        <v>0.007171154267229293</v>
      </c>
      <c r="AX136" s="21">
        <f t="shared" si="84"/>
        <v>7.52</v>
      </c>
      <c r="AY136" s="36">
        <f t="shared" si="99"/>
        <v>-0.04436578171091446</v>
      </c>
      <c r="AZ136" s="36">
        <f t="shared" si="100"/>
        <v>-0.13711431252328365</v>
      </c>
      <c r="BA136" s="36">
        <f t="shared" si="101"/>
        <v>-0.012735632183908047</v>
      </c>
      <c r="BB136" s="6">
        <f t="shared" si="115"/>
        <v>0.0628337529085895</v>
      </c>
      <c r="BC136" s="6">
        <f t="shared" si="125"/>
        <v>0.0009253819568319083</v>
      </c>
      <c r="BD136" s="4">
        <f t="shared" si="116"/>
        <v>0.8233045821271969</v>
      </c>
      <c r="BE136" s="4">
        <f>SUMPRODUCT(BC$4:BC136,$BD$222:BD$354)</f>
        <v>0.051806561430540715</v>
      </c>
      <c r="BF136" s="23">
        <f t="shared" si="117"/>
        <v>0.051806561430540715</v>
      </c>
      <c r="BG136" s="48"/>
    </row>
    <row r="137" spans="5:59" ht="15">
      <c r="E137" s="1">
        <f t="shared" si="118"/>
        <v>133</v>
      </c>
      <c r="F137" s="1">
        <f t="shared" si="102"/>
        <v>1883</v>
      </c>
      <c r="G137" s="3">
        <f t="shared" si="81"/>
        <v>0.1485</v>
      </c>
      <c r="H137" s="3">
        <f t="shared" si="82"/>
        <v>0.12630000000000013</v>
      </c>
      <c r="I137" s="5">
        <f t="shared" si="103"/>
        <v>0.056058644316421005</v>
      </c>
      <c r="J137" s="5">
        <f t="shared" si="119"/>
        <v>0.08279275080372495</v>
      </c>
      <c r="K137" s="4">
        <f t="shared" si="104"/>
        <v>0.13594860487985422</v>
      </c>
      <c r="L137" s="4">
        <f t="shared" si="105"/>
        <v>0.00033506331947788113</v>
      </c>
      <c r="M137" s="4">
        <f t="shared" si="85"/>
        <v>0.3116869938614169</v>
      </c>
      <c r="N137" s="4">
        <f t="shared" si="106"/>
        <v>0.00010443487880128831</v>
      </c>
      <c r="O137" s="4">
        <f>SUMPRODUCT($M$4:M137,L$221:$L$354)</f>
        <v>0.1926744919776551</v>
      </c>
      <c r="P137" s="4">
        <f t="shared" si="107"/>
        <v>0.1190125018837618</v>
      </c>
      <c r="Q137" s="4">
        <f t="shared" si="120"/>
        <v>2.8469715542199734</v>
      </c>
      <c r="R137" s="4">
        <f t="shared" si="121"/>
        <v>3.741645512841139</v>
      </c>
      <c r="S137" s="4">
        <f t="shared" si="126"/>
        <v>0.03851420396723985</v>
      </c>
      <c r="T137" s="5">
        <f t="shared" si="122"/>
        <v>284.36412373980556</v>
      </c>
      <c r="U137" s="4">
        <f t="shared" si="108"/>
        <v>285.1142260620873</v>
      </c>
      <c r="V137" s="4">
        <f t="shared" si="86"/>
        <v>0.003188696891463523</v>
      </c>
      <c r="W137" s="4">
        <f>SUMPRODUCT($J$4:J137,$S$221:S$354)</f>
        <v>0.4619947128376223</v>
      </c>
      <c r="X137" s="6">
        <f t="shared" si="109"/>
        <v>0.09683655151908133</v>
      </c>
      <c r="Y137" s="4">
        <f t="shared" si="110"/>
        <v>1883</v>
      </c>
      <c r="Z137" s="4">
        <f t="shared" si="123"/>
        <v>133</v>
      </c>
      <c r="AA137" s="21">
        <f t="shared" si="111"/>
        <v>49.21</v>
      </c>
      <c r="AB137" s="6">
        <f t="shared" si="112"/>
        <v>155.5453745</v>
      </c>
      <c r="AC137" s="24">
        <f t="shared" si="87"/>
        <v>151.76882185160963</v>
      </c>
      <c r="AD137" s="4">
        <f t="shared" si="88"/>
        <v>6.450041057087776</v>
      </c>
      <c r="AE137" s="4">
        <f t="shared" si="89"/>
        <v>3.7765526483903784</v>
      </c>
      <c r="AF137" s="6">
        <f t="shared" si="83"/>
        <v>978.9151321287225</v>
      </c>
      <c r="AG137" s="30">
        <f t="shared" si="127"/>
        <v>0.14559377970850199</v>
      </c>
      <c r="AH137" s="27">
        <v>0</v>
      </c>
      <c r="AI137" s="47">
        <f t="shared" si="113"/>
        <v>1.975</v>
      </c>
      <c r="AJ137" s="4">
        <f t="shared" si="90"/>
        <v>2.0510608722148427</v>
      </c>
      <c r="AK137" s="4">
        <f t="shared" si="91"/>
        <v>123.69960739219069</v>
      </c>
      <c r="AL137" s="4">
        <f t="shared" si="92"/>
        <v>-0.07606087221484259</v>
      </c>
      <c r="AM137" s="5">
        <f t="shared" si="124"/>
        <v>253.7154246304602</v>
      </c>
      <c r="AN137" s="26">
        <f t="shared" si="114"/>
        <v>-0.06767705728808138</v>
      </c>
      <c r="AO137" s="4">
        <f t="shared" si="93"/>
        <v>1.344792655273089</v>
      </c>
      <c r="AP137" s="21">
        <f t="shared" si="78"/>
        <v>6.6000000000000005</v>
      </c>
      <c r="AQ137" s="21">
        <f aca="true" t="shared" si="128" ref="AQ137:AQ154">1.9*(Z137-$Z$104)+$AQ$104</f>
        <v>112.69999999999999</v>
      </c>
      <c r="AR137" s="21">
        <f aca="true" t="shared" si="129" ref="AR137:AR168">0.58*(Z137-$Z$104)+$AR$104</f>
        <v>26.139999999999997</v>
      </c>
      <c r="AS137" s="35">
        <f t="shared" si="94"/>
        <v>0.15503777280628733</v>
      </c>
      <c r="AT137" s="36">
        <f t="shared" si="95"/>
        <v>0.29623984152172167</v>
      </c>
      <c r="AU137" s="4">
        <f t="shared" si="96"/>
        <v>26.941586663723097</v>
      </c>
      <c r="AV137" s="4">
        <f t="shared" si="97"/>
        <v>0.08154663987637008</v>
      </c>
      <c r="AW137" s="4">
        <f t="shared" si="98"/>
        <v>0.007279688985425099</v>
      </c>
      <c r="AX137" s="21">
        <f t="shared" si="84"/>
        <v>7.755</v>
      </c>
      <c r="AY137" s="36">
        <f t="shared" si="99"/>
        <v>-0.045752212389380535</v>
      </c>
      <c r="AZ137" s="36">
        <f t="shared" si="100"/>
        <v>-0.14105552165449825</v>
      </c>
      <c r="BA137" s="36">
        <f t="shared" si="101"/>
        <v>-0.012954022988505745</v>
      </c>
      <c r="BB137" s="6">
        <f t="shared" si="115"/>
        <v>0.06381784576891261</v>
      </c>
      <c r="BC137" s="6">
        <f t="shared" si="125"/>
        <v>0.0009840928603231103</v>
      </c>
      <c r="BD137" s="4">
        <f t="shared" si="116"/>
        <v>0.8229025317813818</v>
      </c>
      <c r="BE137" s="4">
        <f>SUMPRODUCT(BC$4:BC137,$BD$221:BD$354)</f>
        <v>0.05227323280819744</v>
      </c>
      <c r="BF137" s="23">
        <f t="shared" si="117"/>
        <v>0.05227323280819744</v>
      </c>
      <c r="BG137" s="48"/>
    </row>
    <row r="138" spans="5:59" ht="15">
      <c r="E138" s="1">
        <f t="shared" si="118"/>
        <v>134</v>
      </c>
      <c r="F138" s="1">
        <f t="shared" si="102"/>
        <v>1884</v>
      </c>
      <c r="G138" s="3">
        <f t="shared" si="81"/>
        <v>0.153</v>
      </c>
      <c r="H138" s="3">
        <f t="shared" si="82"/>
        <v>0.12740000000000012</v>
      </c>
      <c r="I138" s="5">
        <f t="shared" si="103"/>
        <v>0.05734584867535262</v>
      </c>
      <c r="J138" s="5">
        <f t="shared" si="119"/>
        <v>0.08497180563163999</v>
      </c>
      <c r="K138" s="4">
        <f t="shared" si="104"/>
        <v>0.13808234569300748</v>
      </c>
      <c r="L138" s="4">
        <f t="shared" si="105"/>
        <v>0.00033844149135866814</v>
      </c>
      <c r="M138" s="4">
        <f t="shared" si="85"/>
        <v>0.31989590387533823</v>
      </c>
      <c r="N138" s="4">
        <f t="shared" si="106"/>
        <v>0.00010826604678709862</v>
      </c>
      <c r="O138" s="4">
        <f>SUMPRODUCT($M$4:M138,L$220:$L$354)</f>
        <v>0.1981506671375646</v>
      </c>
      <c r="P138" s="4">
        <f t="shared" si="107"/>
        <v>0.12174523673777363</v>
      </c>
      <c r="Q138" s="4">
        <f t="shared" si="120"/>
        <v>2.930220609599947</v>
      </c>
      <c r="R138" s="4">
        <f t="shared" si="121"/>
        <v>3.851994152896919</v>
      </c>
      <c r="S138" s="4">
        <f t="shared" si="126"/>
        <v>0.038598090082394315</v>
      </c>
      <c r="T138" s="5">
        <f t="shared" si="122"/>
        <v>284.4803301079445</v>
      </c>
      <c r="U138" s="4">
        <f t="shared" si="108"/>
        <v>285.25017466696715</v>
      </c>
      <c r="V138" s="4">
        <f t="shared" si="86"/>
        <v>0.003279749408233741</v>
      </c>
      <c r="W138" s="4">
        <f>SUMPRODUCT($J$4:J138,$S$220:S$354)</f>
        <v>0.4753363507842906</v>
      </c>
      <c r="X138" s="6">
        <f t="shared" si="109"/>
        <v>0.09938693877660043</v>
      </c>
      <c r="Y138" s="4">
        <f t="shared" si="110"/>
        <v>1884</v>
      </c>
      <c r="Z138" s="4">
        <f t="shared" si="123"/>
        <v>134</v>
      </c>
      <c r="AA138" s="21">
        <f t="shared" si="111"/>
        <v>49.58</v>
      </c>
      <c r="AB138" s="6">
        <f t="shared" si="112"/>
        <v>155.91537449999998</v>
      </c>
      <c r="AC138" s="24">
        <f t="shared" si="87"/>
        <v>152.13181752456993</v>
      </c>
      <c r="AD138" s="4">
        <f t="shared" si="88"/>
        <v>6.459475083957398</v>
      </c>
      <c r="AE138" s="4">
        <f t="shared" si="89"/>
        <v>3.7835569754300593</v>
      </c>
      <c r="AF138" s="6">
        <f t="shared" si="83"/>
        <v>982.6916847771129</v>
      </c>
      <c r="AG138" s="30">
        <f t="shared" si="127"/>
        <v>0.14776436705336565</v>
      </c>
      <c r="AH138" s="27">
        <v>0</v>
      </c>
      <c r="AI138" s="47">
        <f t="shared" si="113"/>
        <v>1.975</v>
      </c>
      <c r="AJ138" s="4">
        <f t="shared" si="90"/>
        <v>2.050445988515384</v>
      </c>
      <c r="AK138" s="4">
        <f t="shared" si="91"/>
        <v>123.69960739219069</v>
      </c>
      <c r="AL138" s="4">
        <f t="shared" si="92"/>
        <v>-0.07544598851538398</v>
      </c>
      <c r="AM138" s="5">
        <f t="shared" si="124"/>
        <v>253.63936375824537</v>
      </c>
      <c r="AN138" s="26">
        <f t="shared" si="114"/>
        <v>-0.06796358832335314</v>
      </c>
      <c r="AO138" s="4">
        <f t="shared" si="93"/>
        <v>1.342623438711927</v>
      </c>
      <c r="AP138" s="21">
        <f t="shared" si="78"/>
        <v>6.800000000000001</v>
      </c>
      <c r="AQ138" s="21">
        <f t="shared" si="128"/>
        <v>114.6</v>
      </c>
      <c r="AR138" s="21">
        <f t="shared" si="129"/>
        <v>26.72</v>
      </c>
      <c r="AS138" s="35">
        <f t="shared" si="94"/>
        <v>0.1548113410149343</v>
      </c>
      <c r="AT138" s="36">
        <f t="shared" si="95"/>
        <v>0.2946254900730402</v>
      </c>
      <c r="AU138" s="4">
        <f t="shared" si="96"/>
        <v>26.98984303010875</v>
      </c>
      <c r="AV138" s="4">
        <f t="shared" si="97"/>
        <v>0.08357340726456756</v>
      </c>
      <c r="AW138" s="4">
        <f t="shared" si="98"/>
        <v>0.007388218352668283</v>
      </c>
      <c r="AX138" s="21">
        <f t="shared" si="84"/>
        <v>7.989999999999999</v>
      </c>
      <c r="AY138" s="36">
        <f t="shared" si="99"/>
        <v>-0.04713864306784661</v>
      </c>
      <c r="AZ138" s="36">
        <f t="shared" si="100"/>
        <v>-0.1449781596777611</v>
      </c>
      <c r="BA138" s="36">
        <f t="shared" si="101"/>
        <v>-0.013172413793103447</v>
      </c>
      <c r="BB138" s="6">
        <f t="shared" si="115"/>
        <v>0.06486012658513768</v>
      </c>
      <c r="BC138" s="6">
        <f t="shared" si="125"/>
        <v>0.0010422808162250663</v>
      </c>
      <c r="BD138" s="4">
        <f t="shared" si="116"/>
        <v>0.822499565699037</v>
      </c>
      <c r="BE138" s="4">
        <f>SUMPRODUCT(BC$4:BC138,$BD$220:BD$354)</f>
        <v>0.05275979496248328</v>
      </c>
      <c r="BF138" s="23">
        <f t="shared" si="117"/>
        <v>0.05275979496248328</v>
      </c>
      <c r="BG138" s="48"/>
    </row>
    <row r="139" spans="5:59" ht="15">
      <c r="E139" s="1">
        <f t="shared" si="118"/>
        <v>135</v>
      </c>
      <c r="F139" s="1">
        <f t="shared" si="102"/>
        <v>1885</v>
      </c>
      <c r="G139" s="3">
        <f t="shared" si="81"/>
        <v>0.1575</v>
      </c>
      <c r="H139" s="3">
        <f t="shared" si="82"/>
        <v>0.12850000000000011</v>
      </c>
      <c r="I139" s="5">
        <f t="shared" si="103"/>
        <v>0.058641600169415255</v>
      </c>
      <c r="J139" s="5">
        <f t="shared" si="119"/>
        <v>0.08715235291205815</v>
      </c>
      <c r="K139" s="4">
        <f t="shared" si="104"/>
        <v>0.14020604691852673</v>
      </c>
      <c r="L139" s="4">
        <f t="shared" si="105"/>
        <v>0.0003418541645463839</v>
      </c>
      <c r="M139" s="4">
        <f t="shared" si="85"/>
        <v>0.32822965045544383</v>
      </c>
      <c r="N139" s="4">
        <f t="shared" si="106"/>
        <v>0.00011220667293579737</v>
      </c>
      <c r="O139" s="4">
        <f>SUMPRODUCT($M$4:M139,L$219:$L$354)</f>
        <v>0.20373353329577523</v>
      </c>
      <c r="P139" s="4">
        <f t="shared" si="107"/>
        <v>0.1244961171596686</v>
      </c>
      <c r="Q139" s="4">
        <f t="shared" si="120"/>
        <v>3.0148405011069923</v>
      </c>
      <c r="R139" s="4">
        <f t="shared" si="121"/>
        <v>3.9642148984260435</v>
      </c>
      <c r="S139" s="4">
        <f t="shared" si="126"/>
        <v>0.0386825841243558</v>
      </c>
      <c r="T139" s="5">
        <f t="shared" si="122"/>
        <v>284.59865669527693</v>
      </c>
      <c r="U139" s="4">
        <f t="shared" si="108"/>
        <v>285.3882570126602</v>
      </c>
      <c r="V139" s="4">
        <f t="shared" si="86"/>
        <v>0.003371278223156235</v>
      </c>
      <c r="W139" s="4">
        <f>SUMPRODUCT($J$4:J139,$S$219:S$354)</f>
        <v>0.4888905296946348</v>
      </c>
      <c r="X139" s="6">
        <f t="shared" si="109"/>
        <v>0.1019761109138574</v>
      </c>
      <c r="Y139" s="4">
        <f t="shared" si="110"/>
        <v>1885</v>
      </c>
      <c r="Z139" s="4">
        <f t="shared" si="123"/>
        <v>135</v>
      </c>
      <c r="AA139" s="21">
        <f t="shared" si="111"/>
        <v>49.95</v>
      </c>
      <c r="AB139" s="6">
        <f t="shared" si="112"/>
        <v>156.2853745</v>
      </c>
      <c r="AC139" s="24">
        <f t="shared" si="87"/>
        <v>152.4948847367539</v>
      </c>
      <c r="AD139" s="4">
        <f t="shared" si="88"/>
        <v>6.4689070945262035</v>
      </c>
      <c r="AE139" s="4">
        <f t="shared" si="89"/>
        <v>3.790489763246086</v>
      </c>
      <c r="AF139" s="6">
        <f t="shared" si="83"/>
        <v>986.475241752543</v>
      </c>
      <c r="AG139" s="30">
        <f t="shared" si="127"/>
        <v>0.1499348017085659</v>
      </c>
      <c r="AH139" s="27">
        <v>0</v>
      </c>
      <c r="AI139" s="47">
        <f t="shared" si="113"/>
        <v>1.975</v>
      </c>
      <c r="AJ139" s="4">
        <f t="shared" si="90"/>
        <v>2.04983607559726</v>
      </c>
      <c r="AK139" s="4">
        <f t="shared" si="91"/>
        <v>123.69960739219069</v>
      </c>
      <c r="AL139" s="4">
        <f t="shared" si="92"/>
        <v>-0.07483607559725991</v>
      </c>
      <c r="AM139" s="5">
        <f t="shared" si="124"/>
        <v>253.56391776972998</v>
      </c>
      <c r="AN139" s="26">
        <f t="shared" si="114"/>
        <v>-0.06824784545882409</v>
      </c>
      <c r="AO139" s="4">
        <f t="shared" si="93"/>
        <v>1.3404610107598955</v>
      </c>
      <c r="AP139" s="21">
        <f t="shared" si="78"/>
        <v>7</v>
      </c>
      <c r="AQ139" s="21">
        <f t="shared" si="128"/>
        <v>116.5</v>
      </c>
      <c r="AR139" s="21">
        <f t="shared" si="129"/>
        <v>27.299999999999997</v>
      </c>
      <c r="AS139" s="35">
        <f t="shared" si="94"/>
        <v>0.1545856178466638</v>
      </c>
      <c r="AT139" s="36">
        <f t="shared" si="95"/>
        <v>0.29301359267587757</v>
      </c>
      <c r="AU139" s="4">
        <f t="shared" si="96"/>
        <v>27.038061051939412</v>
      </c>
      <c r="AV139" s="4">
        <f t="shared" si="97"/>
        <v>0.0855985641814553</v>
      </c>
      <c r="AW139" s="4">
        <f t="shared" si="98"/>
        <v>0.007496740085428296</v>
      </c>
      <c r="AX139" s="21">
        <f t="shared" si="84"/>
        <v>8.225</v>
      </c>
      <c r="AY139" s="36">
        <f t="shared" si="99"/>
        <v>-0.04852507374631269</v>
      </c>
      <c r="AZ139" s="36">
        <f t="shared" si="100"/>
        <v>-0.14888240078793227</v>
      </c>
      <c r="BA139" s="36">
        <f t="shared" si="101"/>
        <v>-0.013390804597701152</v>
      </c>
      <c r="BB139" s="6">
        <f t="shared" si="115"/>
        <v>0.06596009229853671</v>
      </c>
      <c r="BC139" s="6">
        <f t="shared" si="125"/>
        <v>0.0010999657133990287</v>
      </c>
      <c r="BD139" s="4">
        <f t="shared" si="116"/>
        <v>0.8220956817285036</v>
      </c>
      <c r="BE139" s="4">
        <f>SUMPRODUCT(BC$4:BC139,$BD$219:BD$354)</f>
        <v>0.05326775705422458</v>
      </c>
      <c r="BF139" s="23">
        <f t="shared" si="117"/>
        <v>0.05326775705422458</v>
      </c>
      <c r="BG139" s="48"/>
    </row>
    <row r="140" spans="5:59" ht="15">
      <c r="E140" s="1">
        <f t="shared" si="118"/>
        <v>136</v>
      </c>
      <c r="F140" s="1">
        <f t="shared" si="102"/>
        <v>1886</v>
      </c>
      <c r="G140" s="3">
        <f t="shared" si="81"/>
        <v>0.16199999999999998</v>
      </c>
      <c r="H140" s="3">
        <f t="shared" si="82"/>
        <v>0.1296000000000001</v>
      </c>
      <c r="I140" s="5">
        <f t="shared" si="103"/>
        <v>0.0599456391542161</v>
      </c>
      <c r="J140" s="5">
        <f t="shared" si="119"/>
        <v>0.0893342759082664</v>
      </c>
      <c r="K140" s="4">
        <f t="shared" si="104"/>
        <v>0.14232008493751758</v>
      </c>
      <c r="L140" s="4">
        <f t="shared" si="105"/>
        <v>0.00034530171398993093</v>
      </c>
      <c r="M140" s="4">
        <f t="shared" si="85"/>
        <v>0.336687445056967</v>
      </c>
      <c r="N140" s="4">
        <f t="shared" si="106"/>
        <v>0.00011625875185706142</v>
      </c>
      <c r="O140" s="4">
        <f>SUMPRODUCT($M$4:M140,L$218:$L$354)</f>
        <v>0.20942285313256623</v>
      </c>
      <c r="P140" s="4">
        <f t="shared" si="107"/>
        <v>0.1272645919244008</v>
      </c>
      <c r="Q140" s="4">
        <f t="shared" si="120"/>
        <v>3.1008084424830984</v>
      </c>
      <c r="R140" s="4">
        <f t="shared" si="121"/>
        <v>4.078280239106788</v>
      </c>
      <c r="S140" s="4">
        <f t="shared" si="126"/>
        <v>0.038767692408827964</v>
      </c>
      <c r="T140" s="5">
        <f t="shared" si="122"/>
        <v>284.7190945198498</v>
      </c>
      <c r="U140" s="4">
        <f t="shared" si="108"/>
        <v>285.5284630595787</v>
      </c>
      <c r="V140" s="4">
        <f t="shared" si="86"/>
        <v>0.003463283729977042</v>
      </c>
      <c r="W140" s="4">
        <f>SUMPRODUCT($J$4:J140,$S$218:S$354)</f>
        <v>0.5026538493940474</v>
      </c>
      <c r="X140" s="6">
        <f t="shared" si="109"/>
        <v>0.10460382294162447</v>
      </c>
      <c r="Y140" s="4">
        <f t="shared" si="110"/>
        <v>1886</v>
      </c>
      <c r="Z140" s="4">
        <f t="shared" si="123"/>
        <v>136</v>
      </c>
      <c r="AA140" s="21">
        <f t="shared" si="111"/>
        <v>50.32</v>
      </c>
      <c r="AB140" s="6">
        <f t="shared" si="112"/>
        <v>156.6553745</v>
      </c>
      <c r="AC140" s="24">
        <f t="shared" si="87"/>
        <v>152.85801532356604</v>
      </c>
      <c r="AD140" s="4">
        <f t="shared" si="88"/>
        <v>6.478336967934716</v>
      </c>
      <c r="AE140" s="4">
        <f t="shared" si="89"/>
        <v>3.7973591764339574</v>
      </c>
      <c r="AF140" s="6">
        <f t="shared" si="83"/>
        <v>990.2657315157891</v>
      </c>
      <c r="AG140" s="30">
        <f t="shared" si="127"/>
        <v>0.15210504363121602</v>
      </c>
      <c r="AH140" s="27">
        <v>0</v>
      </c>
      <c r="AI140" s="47">
        <f t="shared" si="113"/>
        <v>1.975</v>
      </c>
      <c r="AJ140" s="4">
        <f t="shared" si="90"/>
        <v>2.0492310932761764</v>
      </c>
      <c r="AK140" s="4">
        <f t="shared" si="91"/>
        <v>123.69960739219069</v>
      </c>
      <c r="AL140" s="4">
        <f t="shared" si="92"/>
        <v>-0.07423109327617627</v>
      </c>
      <c r="AM140" s="5">
        <f t="shared" si="124"/>
        <v>253.48908169413272</v>
      </c>
      <c r="AN140" s="26">
        <f t="shared" si="114"/>
        <v>-0.06852984641207094</v>
      </c>
      <c r="AO140" s="4">
        <f t="shared" si="93"/>
        <v>1.3383053673346061</v>
      </c>
      <c r="AP140" s="21">
        <f t="shared" si="78"/>
        <v>7.2</v>
      </c>
      <c r="AQ140" s="21">
        <f t="shared" si="128"/>
        <v>118.39999999999999</v>
      </c>
      <c r="AR140" s="21">
        <f t="shared" si="129"/>
        <v>27.88</v>
      </c>
      <c r="AS140" s="35">
        <f t="shared" si="94"/>
        <v>0.15436060287533923</v>
      </c>
      <c r="AT140" s="36">
        <f t="shared" si="95"/>
        <v>0.29140416237376204</v>
      </c>
      <c r="AU140" s="4">
        <f t="shared" si="96"/>
        <v>27.086240525409966</v>
      </c>
      <c r="AV140" s="4">
        <f t="shared" si="97"/>
        <v>0.08762210206721859</v>
      </c>
      <c r="AW140" s="4">
        <f t="shared" si="98"/>
        <v>0.007605252181560801</v>
      </c>
      <c r="AX140" s="21">
        <f t="shared" si="84"/>
        <v>8.459999999999999</v>
      </c>
      <c r="AY140" s="36">
        <f t="shared" si="99"/>
        <v>-0.04991150442477876</v>
      </c>
      <c r="AZ140" s="36">
        <f t="shared" si="100"/>
        <v>-0.15276841674041716</v>
      </c>
      <c r="BA140" s="36">
        <f t="shared" si="101"/>
        <v>-0.01360919540229885</v>
      </c>
      <c r="BB140" s="6">
        <f t="shared" si="115"/>
        <v>0.06711725784205415</v>
      </c>
      <c r="BC140" s="6">
        <f t="shared" si="125"/>
        <v>0.001157165543517441</v>
      </c>
      <c r="BD140" s="4">
        <f t="shared" si="116"/>
        <v>0.8216908777083317</v>
      </c>
      <c r="BE140" s="4">
        <f>SUMPRODUCT(BC$4:BC140,$BD$218:BD$354)</f>
        <v>0.05379850511110457</v>
      </c>
      <c r="BF140" s="23">
        <f t="shared" si="117"/>
        <v>0.05379850511110457</v>
      </c>
      <c r="BG140" s="48"/>
    </row>
    <row r="141" spans="5:59" ht="15">
      <c r="E141" s="1">
        <f t="shared" si="118"/>
        <v>137</v>
      </c>
      <c r="F141" s="1">
        <f t="shared" si="102"/>
        <v>1887</v>
      </c>
      <c r="G141" s="3">
        <f t="shared" si="81"/>
        <v>0.16649999999999998</v>
      </c>
      <c r="H141" s="3">
        <f t="shared" si="82"/>
        <v>0.1307000000000001</v>
      </c>
      <c r="I141" s="5">
        <f t="shared" si="103"/>
        <v>0.06125771412900628</v>
      </c>
      <c r="J141" s="5">
        <f t="shared" si="119"/>
        <v>0.09151748122114438</v>
      </c>
      <c r="K141" s="4">
        <f t="shared" si="104"/>
        <v>0.14442480464984941</v>
      </c>
      <c r="L141" s="4">
        <f t="shared" si="105"/>
        <v>0.00034878451985261304</v>
      </c>
      <c r="M141" s="4">
        <f t="shared" si="85"/>
        <v>0.34526852050349566</v>
      </c>
      <c r="N141" s="4">
        <f t="shared" si="106"/>
        <v>0.00012042431514403382</v>
      </c>
      <c r="O141" s="4">
        <f>SUMPRODUCT($M$4:M141,L$217:$L$354)</f>
        <v>0.2152183934076153</v>
      </c>
      <c r="P141" s="4">
        <f t="shared" si="107"/>
        <v>0.13005012709588035</v>
      </c>
      <c r="Q141" s="4">
        <f t="shared" si="120"/>
        <v>3.1881028679799255</v>
      </c>
      <c r="R141" s="4">
        <f t="shared" si="121"/>
        <v>4.1941642705740145</v>
      </c>
      <c r="S141" s="4">
        <f t="shared" si="126"/>
        <v>0.03885342133771217</v>
      </c>
      <c r="T141" s="5">
        <f t="shared" si="122"/>
        <v>284.84163476465267</v>
      </c>
      <c r="U141" s="4">
        <f t="shared" si="108"/>
        <v>285.67078314451624</v>
      </c>
      <c r="V141" s="4">
        <f t="shared" si="86"/>
        <v>0.0035557672576512836</v>
      </c>
      <c r="W141" s="4">
        <f>SUMPRODUCT($J$4:J141,$S$217:S$354)</f>
        <v>0.5166230884953562</v>
      </c>
      <c r="X141" s="6">
        <f t="shared" si="109"/>
        <v>0.1072698365095065</v>
      </c>
      <c r="Y141" s="4">
        <f t="shared" si="110"/>
        <v>1887</v>
      </c>
      <c r="Z141" s="4">
        <f t="shared" si="123"/>
        <v>137</v>
      </c>
      <c r="AA141" s="21">
        <f t="shared" si="111"/>
        <v>50.69</v>
      </c>
      <c r="AB141" s="6">
        <f t="shared" si="112"/>
        <v>157.0253745</v>
      </c>
      <c r="AC141" s="24">
        <f t="shared" si="87"/>
        <v>153.221202058937</v>
      </c>
      <c r="AD141" s="4">
        <f t="shared" si="88"/>
        <v>6.4877646000313565</v>
      </c>
      <c r="AE141" s="4">
        <f t="shared" si="89"/>
        <v>3.8041724410630025</v>
      </c>
      <c r="AF141" s="6">
        <f t="shared" si="83"/>
        <v>994.063090692223</v>
      </c>
      <c r="AG141" s="30">
        <f t="shared" si="127"/>
        <v>0.15427505774582564</v>
      </c>
      <c r="AH141" s="27">
        <v>0</v>
      </c>
      <c r="AI141" s="47">
        <f t="shared" si="113"/>
        <v>1.975</v>
      </c>
      <c r="AJ141" s="4">
        <f t="shared" si="90"/>
        <v>2.048631001692694</v>
      </c>
      <c r="AK141" s="4">
        <f t="shared" si="91"/>
        <v>123.69960739219069</v>
      </c>
      <c r="AL141" s="4">
        <f t="shared" si="92"/>
        <v>-0.07363100169269376</v>
      </c>
      <c r="AM141" s="5">
        <f t="shared" si="124"/>
        <v>253.41485060085654</v>
      </c>
      <c r="AN141" s="26">
        <f t="shared" si="114"/>
        <v>-0.06880960876771099</v>
      </c>
      <c r="AO141" s="4">
        <f t="shared" si="93"/>
        <v>1.3361565004271907</v>
      </c>
      <c r="AP141" s="21">
        <f t="shared" si="78"/>
        <v>7.4</v>
      </c>
      <c r="AQ141" s="21">
        <f t="shared" si="128"/>
        <v>120.3</v>
      </c>
      <c r="AR141" s="21">
        <f t="shared" si="129"/>
        <v>28.459999999999997</v>
      </c>
      <c r="AS141" s="35">
        <f t="shared" si="94"/>
        <v>0.1541362952649618</v>
      </c>
      <c r="AT141" s="36">
        <f t="shared" si="95"/>
        <v>0.28979720929229474</v>
      </c>
      <c r="AU141" s="4">
        <f t="shared" si="96"/>
        <v>27.134381292307896</v>
      </c>
      <c r="AV141" s="4">
        <f t="shared" si="97"/>
        <v>0.08964401427693165</v>
      </c>
      <c r="AW141" s="4">
        <f t="shared" si="98"/>
        <v>0.007713752887291282</v>
      </c>
      <c r="AX141" s="21">
        <f t="shared" si="84"/>
        <v>8.695</v>
      </c>
      <c r="AY141" s="36">
        <f t="shared" si="99"/>
        <v>-0.051297935103244846</v>
      </c>
      <c r="AZ141" s="36">
        <f t="shared" si="100"/>
        <v>-0.15663637689650378</v>
      </c>
      <c r="BA141" s="36">
        <f t="shared" si="101"/>
        <v>-0.013827586206896553</v>
      </c>
      <c r="BB141" s="6">
        <f t="shared" si="115"/>
        <v>0.06833115444519891</v>
      </c>
      <c r="BC141" s="6">
        <f t="shared" si="125"/>
        <v>0.0012138966031447623</v>
      </c>
      <c r="BD141" s="4">
        <f t="shared" si="116"/>
        <v>0.8212851514669061</v>
      </c>
      <c r="BE141" s="4">
        <f>SUMPRODUCT(BC$4:BC141,$BD$217:BD$354)</f>
        <v>0.05435331113032762</v>
      </c>
      <c r="BF141" s="23">
        <f t="shared" si="117"/>
        <v>0.05435331113032762</v>
      </c>
      <c r="BG141" s="48"/>
    </row>
    <row r="142" spans="5:59" ht="15">
      <c r="E142" s="1">
        <f t="shared" si="118"/>
        <v>138</v>
      </c>
      <c r="F142" s="1">
        <f t="shared" si="102"/>
        <v>1888</v>
      </c>
      <c r="G142" s="3">
        <f t="shared" si="81"/>
        <v>0.17099999999999999</v>
      </c>
      <c r="H142" s="3">
        <f t="shared" si="82"/>
        <v>0.13180000000000008</v>
      </c>
      <c r="I142" s="5">
        <f t="shared" si="103"/>
        <v>0.06257758136349183</v>
      </c>
      <c r="J142" s="5">
        <f t="shared" si="119"/>
        <v>0.0937018959329896</v>
      </c>
      <c r="K142" s="4">
        <f t="shared" si="104"/>
        <v>0.14652052270351862</v>
      </c>
      <c r="L142" s="4">
        <f t="shared" si="105"/>
        <v>0.0003523029676386829</v>
      </c>
      <c r="M142" s="4">
        <f t="shared" si="85"/>
        <v>0.3539721290880434</v>
      </c>
      <c r="N142" s="4">
        <f t="shared" si="106"/>
        <v>0.00012470543153910064</v>
      </c>
      <c r="O142" s="4">
        <f>SUMPRODUCT($M$4:M142,L$216:$L$354)</f>
        <v>0.22111992385335022</v>
      </c>
      <c r="P142" s="4">
        <f t="shared" si="107"/>
        <v>0.13285220523469315</v>
      </c>
      <c r="Q142" s="4">
        <f t="shared" si="120"/>
        <v>3.2767033458158505</v>
      </c>
      <c r="R142" s="4">
        <f t="shared" si="121"/>
        <v>4.311842581318203</v>
      </c>
      <c r="S142" s="4">
        <f t="shared" si="126"/>
        <v>0.03893977740061004</v>
      </c>
      <c r="T142" s="5">
        <f t="shared" si="122"/>
        <v>284.9662687720132</v>
      </c>
      <c r="U142" s="4">
        <f t="shared" si="108"/>
        <v>285.8152079491661</v>
      </c>
      <c r="V142" s="4">
        <f t="shared" si="86"/>
        <v>0.003648730969645742</v>
      </c>
      <c r="W142" s="4">
        <f>SUMPRODUCT($J$4:J142,$S$216:S$354)</f>
        <v>0.5307951927754451</v>
      </c>
      <c r="X142" s="6">
        <f t="shared" si="109"/>
        <v>0.10997391931597167</v>
      </c>
      <c r="Y142" s="4">
        <f t="shared" si="110"/>
        <v>1888</v>
      </c>
      <c r="Z142" s="4">
        <f t="shared" si="123"/>
        <v>138</v>
      </c>
      <c r="AA142" s="21">
        <f t="shared" si="111"/>
        <v>51.06</v>
      </c>
      <c r="AB142" s="6">
        <f t="shared" si="112"/>
        <v>157.3953745</v>
      </c>
      <c r="AC142" s="24">
        <f t="shared" si="87"/>
        <v>153.58443854614353</v>
      </c>
      <c r="AD142" s="4">
        <f t="shared" si="88"/>
        <v>6.497189901394097</v>
      </c>
      <c r="AE142" s="4">
        <f t="shared" si="89"/>
        <v>3.8109359538564718</v>
      </c>
      <c r="AF142" s="6">
        <f t="shared" si="83"/>
        <v>997.867263133286</v>
      </c>
      <c r="AG142" s="30">
        <f t="shared" si="127"/>
        <v>0.1564448133620484</v>
      </c>
      <c r="AH142" s="27">
        <v>0</v>
      </c>
      <c r="AI142" s="47">
        <f t="shared" si="113"/>
        <v>1.975</v>
      </c>
      <c r="AJ142" s="4">
        <f t="shared" si="90"/>
        <v>2.0480357613096</v>
      </c>
      <c r="AK142" s="4">
        <f t="shared" si="91"/>
        <v>123.69960739219069</v>
      </c>
      <c r="AL142" s="4">
        <f t="shared" si="92"/>
        <v>-0.07303576130959977</v>
      </c>
      <c r="AM142" s="5">
        <f t="shared" si="124"/>
        <v>253.34121959916385</v>
      </c>
      <c r="AN142" s="26">
        <f t="shared" si="114"/>
        <v>-0.06908714997832142</v>
      </c>
      <c r="AO142" s="4">
        <f t="shared" si="93"/>
        <v>1.3340143986085413</v>
      </c>
      <c r="AP142" s="21">
        <f t="shared" si="78"/>
        <v>7.6000000000000005</v>
      </c>
      <c r="AQ142" s="21">
        <f t="shared" si="128"/>
        <v>122.2</v>
      </c>
      <c r="AR142" s="21">
        <f t="shared" si="129"/>
        <v>29.04</v>
      </c>
      <c r="AS142" s="35">
        <f t="shared" si="94"/>
        <v>0.15391269382251407</v>
      </c>
      <c r="AT142" s="36">
        <f t="shared" si="95"/>
        <v>0.2881927409948082</v>
      </c>
      <c r="AU142" s="4">
        <f t="shared" si="96"/>
        <v>27.18248323445612</v>
      </c>
      <c r="AV142" s="4">
        <f t="shared" si="97"/>
        <v>0.09166429584715712</v>
      </c>
      <c r="AW142" s="4">
        <f t="shared" si="98"/>
        <v>0.00782224066810242</v>
      </c>
      <c r="AX142" s="21">
        <f t="shared" si="84"/>
        <v>8.93</v>
      </c>
      <c r="AY142" s="36">
        <f t="shared" si="99"/>
        <v>-0.05268436578171092</v>
      </c>
      <c r="AZ142" s="36">
        <f t="shared" si="100"/>
        <v>-0.1604864482676541</v>
      </c>
      <c r="BA142" s="36">
        <f t="shared" si="101"/>
        <v>-0.014045977011494255</v>
      </c>
      <c r="BB142" s="6">
        <f t="shared" si="115"/>
        <v>0.06960132815409886</v>
      </c>
      <c r="BC142" s="6">
        <f t="shared" si="125"/>
        <v>0.001270173708899952</v>
      </c>
      <c r="BD142" s="4">
        <f t="shared" si="116"/>
        <v>0.8208785008220463</v>
      </c>
      <c r="BE142" s="4">
        <f>SUMPRODUCT(BC$4:BC142,$BD$216:BD$354)</f>
        <v>0.05493334148957393</v>
      </c>
      <c r="BF142" s="23">
        <f t="shared" si="117"/>
        <v>0.05493334148957393</v>
      </c>
      <c r="BG142" s="48"/>
    </row>
    <row r="143" spans="5:59" ht="15">
      <c r="E143" s="1">
        <f t="shared" si="118"/>
        <v>139</v>
      </c>
      <c r="F143" s="1">
        <f t="shared" si="102"/>
        <v>1889</v>
      </c>
      <c r="G143" s="3">
        <f t="shared" si="81"/>
        <v>0.1755</v>
      </c>
      <c r="H143" s="3">
        <f t="shared" si="82"/>
        <v>0.13290000000000007</v>
      </c>
      <c r="I143" s="5">
        <f t="shared" si="103"/>
        <v>0.06390500453311392</v>
      </c>
      <c r="J143" s="5">
        <f t="shared" si="119"/>
        <v>0.09588746414562777</v>
      </c>
      <c r="K143" s="4">
        <f t="shared" si="104"/>
        <v>0.14860753132125837</v>
      </c>
      <c r="L143" s="4">
        <f t="shared" si="105"/>
        <v>0.00035585744832496516</v>
      </c>
      <c r="M143" s="4">
        <f t="shared" si="85"/>
        <v>0.36279754087178656</v>
      </c>
      <c r="N143" s="4">
        <f t="shared" si="106"/>
        <v>0.0001291042071532062</v>
      </c>
      <c r="O143" s="4">
        <f>SUMPRODUCT($M$4:M143,L$215:$L$354)</f>
        <v>0.2271272162479857</v>
      </c>
      <c r="P143" s="4">
        <f t="shared" si="107"/>
        <v>0.13567032462380085</v>
      </c>
      <c r="Q143" s="4">
        <f t="shared" si="120"/>
        <v>3.366590504454204</v>
      </c>
      <c r="R143" s="4">
        <f t="shared" si="121"/>
        <v>4.431292156488417</v>
      </c>
      <c r="S143" s="4">
        <f t="shared" si="126"/>
        <v>0.03902676717636383</v>
      </c>
      <c r="T143" s="5">
        <f t="shared" si="122"/>
        <v>285.0929880467102</v>
      </c>
      <c r="U143" s="4">
        <f t="shared" si="108"/>
        <v>285.9617284718696</v>
      </c>
      <c r="V143" s="4">
        <f t="shared" si="86"/>
        <v>0.0037421777383433493</v>
      </c>
      <c r="W143" s="4">
        <f>SUMPRODUCT($J$4:J143,$S$215:S$354)</f>
        <v>0.5451672636930809</v>
      </c>
      <c r="X143" s="6">
        <f t="shared" si="109"/>
        <v>0.1127158445797943</v>
      </c>
      <c r="Y143" s="4">
        <f t="shared" si="110"/>
        <v>1889</v>
      </c>
      <c r="Z143" s="4">
        <f t="shared" si="123"/>
        <v>139</v>
      </c>
      <c r="AA143" s="21">
        <f t="shared" si="111"/>
        <v>51.43</v>
      </c>
      <c r="AB143" s="6">
        <f t="shared" si="112"/>
        <v>157.7653745</v>
      </c>
      <c r="AC143" s="24">
        <f t="shared" si="87"/>
        <v>153.94771912146507</v>
      </c>
      <c r="AD143" s="4">
        <f t="shared" si="88"/>
        <v>6.506612795586899</v>
      </c>
      <c r="AE143" s="4">
        <f t="shared" si="89"/>
        <v>3.817655378534937</v>
      </c>
      <c r="AF143" s="6">
        <f t="shared" si="83"/>
        <v>1001.6781990871425</v>
      </c>
      <c r="AG143" s="30">
        <f t="shared" si="127"/>
        <v>0.1586142836611817</v>
      </c>
      <c r="AH143" s="27">
        <v>0</v>
      </c>
      <c r="AI143" s="47">
        <f t="shared" si="113"/>
        <v>1.975</v>
      </c>
      <c r="AJ143" s="4">
        <f t="shared" si="90"/>
        <v>2.0474453329093056</v>
      </c>
      <c r="AK143" s="4">
        <f t="shared" si="91"/>
        <v>123.69960739219069</v>
      </c>
      <c r="AL143" s="4">
        <f t="shared" si="92"/>
        <v>-0.07244533290930555</v>
      </c>
      <c r="AM143" s="5">
        <f t="shared" si="124"/>
        <v>253.26818383785425</v>
      </c>
      <c r="AN143" s="26">
        <f t="shared" si="114"/>
        <v>-0.06936248736535383</v>
      </c>
      <c r="AO143" s="4">
        <f t="shared" si="93"/>
        <v>1.3318790474738451</v>
      </c>
      <c r="AP143" s="21">
        <f t="shared" si="78"/>
        <v>7.800000000000001</v>
      </c>
      <c r="AQ143" s="21">
        <f t="shared" si="128"/>
        <v>124.1</v>
      </c>
      <c r="AR143" s="21">
        <f t="shared" si="129"/>
        <v>29.619999999999997</v>
      </c>
      <c r="AS143" s="35">
        <f t="shared" si="94"/>
        <v>0.1536897970443621</v>
      </c>
      <c r="AT143" s="36">
        <f t="shared" si="95"/>
        <v>0.2865907627953397</v>
      </c>
      <c r="AU143" s="4">
        <f t="shared" si="96"/>
        <v>27.23054626882282</v>
      </c>
      <c r="AV143" s="4">
        <f t="shared" si="97"/>
        <v>0.09368294329055846</v>
      </c>
      <c r="AW143" s="4">
        <f t="shared" si="98"/>
        <v>0.007930714183059084</v>
      </c>
      <c r="AX143" s="21">
        <f t="shared" si="84"/>
        <v>9.165</v>
      </c>
      <c r="AY143" s="36">
        <f t="shared" si="99"/>
        <v>-0.054070796460176984</v>
      </c>
      <c r="AZ143" s="36">
        <f t="shared" si="100"/>
        <v>-0.1643187955587735</v>
      </c>
      <c r="BA143" s="36">
        <f t="shared" si="101"/>
        <v>-0.014264367816091953</v>
      </c>
      <c r="BB143" s="6">
        <f t="shared" si="115"/>
        <v>0.07092733851419727</v>
      </c>
      <c r="BC143" s="6">
        <f t="shared" si="125"/>
        <v>0.0013260103600984119</v>
      </c>
      <c r="BD143" s="4">
        <f t="shared" si="116"/>
        <v>0.8204709235805768</v>
      </c>
      <c r="BE143" s="4">
        <f>SUMPRODUCT(BC$4:BC143,$BD$215:BD$354)</f>
        <v>0.0555396647229673</v>
      </c>
      <c r="BF143" s="23">
        <f t="shared" si="117"/>
        <v>0.0555396647229673</v>
      </c>
      <c r="BG143" s="48"/>
    </row>
    <row r="144" spans="5:59" ht="15">
      <c r="E144" s="1">
        <f t="shared" si="118"/>
        <v>140</v>
      </c>
      <c r="F144" s="1">
        <f t="shared" si="102"/>
        <v>1890</v>
      </c>
      <c r="G144" s="3">
        <f t="shared" si="81"/>
        <v>0.18</v>
      </c>
      <c r="H144" s="3">
        <f t="shared" si="82"/>
        <v>0.13400000000000006</v>
      </c>
      <c r="I144" s="5">
        <f t="shared" si="103"/>
        <v>0.0652397543917107</v>
      </c>
      <c r="J144" s="5">
        <f t="shared" si="119"/>
        <v>0.09807414465400488</v>
      </c>
      <c r="K144" s="4">
        <f t="shared" si="104"/>
        <v>0.15068610095428447</v>
      </c>
      <c r="L144" s="4">
        <f t="shared" si="105"/>
        <v>0.00035944835849779634</v>
      </c>
      <c r="M144" s="4">
        <f t="shared" si="85"/>
        <v>0.37174404221602503</v>
      </c>
      <c r="N144" s="4">
        <f t="shared" si="106"/>
        <v>0.0001336227857558857</v>
      </c>
      <c r="O144" s="4">
        <f>SUMPRODUCT($M$4:M144,L$214:$L$354)</f>
        <v>0.23324004364242318</v>
      </c>
      <c r="P144" s="4">
        <f t="shared" si="107"/>
        <v>0.13850399857360185</v>
      </c>
      <c r="Q144" s="4">
        <f t="shared" si="120"/>
        <v>3.45774595977711</v>
      </c>
      <c r="R144" s="4">
        <f t="shared" si="121"/>
        <v>4.5524912827777735</v>
      </c>
      <c r="S144" s="4">
        <f t="shared" si="126"/>
        <v>0.03911439733463597</v>
      </c>
      <c r="T144" s="5">
        <f t="shared" si="122"/>
        <v>285.2217842526256</v>
      </c>
      <c r="U144" s="4">
        <f t="shared" si="108"/>
        <v>286.11033600319087</v>
      </c>
      <c r="V144" s="4">
        <f t="shared" si="86"/>
        <v>0.0038361110622513106</v>
      </c>
      <c r="W144" s="4">
        <f>SUMPRODUCT($J$4:J144,$S$214:S$354)</f>
        <v>0.5597365482511003</v>
      </c>
      <c r="X144" s="6">
        <f t="shared" si="109"/>
        <v>0.11549539058395668</v>
      </c>
      <c r="Y144" s="4">
        <f t="shared" si="110"/>
        <v>1890</v>
      </c>
      <c r="Z144" s="4">
        <f t="shared" si="123"/>
        <v>140</v>
      </c>
      <c r="AA144" s="21">
        <f t="shared" si="111"/>
        <v>51.8</v>
      </c>
      <c r="AB144" s="6">
        <f t="shared" si="112"/>
        <v>158.1353745</v>
      </c>
      <c r="AC144" s="24">
        <f t="shared" si="87"/>
        <v>154.3110387691523</v>
      </c>
      <c r="AD144" s="4">
        <f t="shared" si="88"/>
        <v>6.516033217622809</v>
      </c>
      <c r="AE144" s="4">
        <f t="shared" si="89"/>
        <v>3.8243357308477073</v>
      </c>
      <c r="AF144" s="6">
        <f t="shared" si="83"/>
        <v>1005.4958544656774</v>
      </c>
      <c r="AG144" s="30">
        <f t="shared" si="127"/>
        <v>0.16078344524321775</v>
      </c>
      <c r="AH144" s="27">
        <v>0</v>
      </c>
      <c r="AI144" s="47">
        <f t="shared" si="113"/>
        <v>1.975</v>
      </c>
      <c r="AJ144" s="4">
        <f t="shared" si="90"/>
        <v>2.046859677591261</v>
      </c>
      <c r="AK144" s="4">
        <f t="shared" si="91"/>
        <v>123.69960739219069</v>
      </c>
      <c r="AL144" s="4">
        <f t="shared" si="92"/>
        <v>-0.07185967759126077</v>
      </c>
      <c r="AM144" s="5">
        <f t="shared" si="124"/>
        <v>253.19573850494496</v>
      </c>
      <c r="AN144" s="26">
        <f t="shared" si="114"/>
        <v>-0.06963563812004352</v>
      </c>
      <c r="AO144" s="4">
        <f t="shared" si="93"/>
        <v>1.329750430032965</v>
      </c>
      <c r="AP144" s="21">
        <f t="shared" si="78"/>
        <v>8</v>
      </c>
      <c r="AQ144" s="21">
        <f t="shared" si="128"/>
        <v>126</v>
      </c>
      <c r="AR144" s="21">
        <f t="shared" si="129"/>
        <v>30.2</v>
      </c>
      <c r="AS144" s="35">
        <f t="shared" si="94"/>
        <v>0.15346760315700506</v>
      </c>
      <c r="AT144" s="36">
        <f t="shared" si="95"/>
        <v>0.28499127803408225</v>
      </c>
      <c r="AU144" s="4">
        <f t="shared" si="96"/>
        <v>27.278570343217464</v>
      </c>
      <c r="AV144" s="4">
        <f t="shared" si="97"/>
        <v>0.09569995441513347</v>
      </c>
      <c r="AW144" s="4">
        <f t="shared" si="98"/>
        <v>0.008039172262160887</v>
      </c>
      <c r="AX144" s="21">
        <f t="shared" si="84"/>
        <v>9.399999999999999</v>
      </c>
      <c r="AY144" s="36">
        <f t="shared" si="99"/>
        <v>-0.05545722713864307</v>
      </c>
      <c r="AZ144" s="36">
        <f t="shared" si="100"/>
        <v>-0.16813358121049096</v>
      </c>
      <c r="BA144" s="36">
        <f t="shared" si="101"/>
        <v>-0.014482758620689658</v>
      </c>
      <c r="BB144" s="6">
        <f t="shared" si="115"/>
        <v>0.07230875741460156</v>
      </c>
      <c r="BC144" s="6">
        <f t="shared" si="125"/>
        <v>0.0013814189004042882</v>
      </c>
      <c r="BD144" s="4">
        <f t="shared" si="116"/>
        <v>0.8200624175378699</v>
      </c>
      <c r="BE144" s="4">
        <f>SUMPRODUCT(BC$4:BC144,$BD$214:BD$354)</f>
        <v>0.05617325871244391</v>
      </c>
      <c r="BF144" s="23">
        <f t="shared" si="117"/>
        <v>0.05617325871244391</v>
      </c>
      <c r="BG144" s="48"/>
    </row>
    <row r="145" spans="5:59" ht="15">
      <c r="E145" s="1">
        <f t="shared" si="118"/>
        <v>141</v>
      </c>
      <c r="F145" s="1">
        <f t="shared" si="102"/>
        <v>1891</v>
      </c>
      <c r="G145" s="3">
        <f t="shared" si="81"/>
        <v>0.1845</v>
      </c>
      <c r="H145" s="3">
        <f t="shared" si="82"/>
        <v>0.13510000000000005</v>
      </c>
      <c r="I145" s="5">
        <f t="shared" si="103"/>
        <v>0.0665816084576339</v>
      </c>
      <c r="J145" s="5">
        <f t="shared" si="119"/>
        <v>0.10026190843774868</v>
      </c>
      <c r="K145" s="4">
        <f t="shared" si="104"/>
        <v>0.15275648310461748</v>
      </c>
      <c r="L145" s="4">
        <f t="shared" si="105"/>
        <v>0.00036307610049554504</v>
      </c>
      <c r="M145" s="4">
        <f t="shared" si="85"/>
        <v>0.38081093447618564</v>
      </c>
      <c r="N145" s="4">
        <f t="shared" si="106"/>
        <v>0.000138263349115678</v>
      </c>
      <c r="O145" s="4">
        <f>SUMPRODUCT($M$4:M145,L$213:$L$354)</f>
        <v>0.23945817972062886</v>
      </c>
      <c r="P145" s="4">
        <f t="shared" si="107"/>
        <v>0.14135275475555678</v>
      </c>
      <c r="Q145" s="4">
        <f t="shared" si="120"/>
        <v>3.5501522507859846</v>
      </c>
      <c r="R145" s="4">
        <f t="shared" si="121"/>
        <v>4.675419464529181</v>
      </c>
      <c r="S145" s="4">
        <f t="shared" si="126"/>
        <v>0.03920267463752939</v>
      </c>
      <c r="T145" s="5">
        <f t="shared" si="122"/>
        <v>285.3526492136991</v>
      </c>
      <c r="U145" s="4">
        <f t="shared" si="108"/>
        <v>286.2610221041451</v>
      </c>
      <c r="V145" s="4">
        <f t="shared" si="86"/>
        <v>0.003930534975022824</v>
      </c>
      <c r="W145" s="4">
        <f>SUMPRODUCT($J$4:J145,$S$213:S$354)</f>
        <v>0.5745004292405247</v>
      </c>
      <c r="X145" s="6">
        <f t="shared" si="109"/>
        <v>0.11831234026989508</v>
      </c>
      <c r="Y145" s="4">
        <f t="shared" si="110"/>
        <v>1891</v>
      </c>
      <c r="Z145" s="4">
        <f t="shared" si="123"/>
        <v>141</v>
      </c>
      <c r="AA145" s="21">
        <f t="shared" si="111"/>
        <v>52.17</v>
      </c>
      <c r="AB145" s="6">
        <f t="shared" si="112"/>
        <v>158.50537450000002</v>
      </c>
      <c r="AC145" s="24">
        <f t="shared" si="87"/>
        <v>154.67439304636602</v>
      </c>
      <c r="AD145" s="4">
        <f t="shared" si="88"/>
        <v>6.5254511126089625</v>
      </c>
      <c r="AE145" s="4">
        <f t="shared" si="89"/>
        <v>3.8309814536339957</v>
      </c>
      <c r="AF145" s="6">
        <f t="shared" si="83"/>
        <v>1009.3201901965251</v>
      </c>
      <c r="AG145" s="30">
        <f t="shared" si="127"/>
        <v>0.16295227772723508</v>
      </c>
      <c r="AH145" s="27">
        <v>0</v>
      </c>
      <c r="AI145" s="47">
        <f t="shared" si="113"/>
        <v>1.975</v>
      </c>
      <c r="AJ145" s="4">
        <f t="shared" si="90"/>
        <v>2.0462787567693907</v>
      </c>
      <c r="AK145" s="4">
        <f t="shared" si="91"/>
        <v>123.69960739219069</v>
      </c>
      <c r="AL145" s="4">
        <f t="shared" si="92"/>
        <v>-0.07127875676939066</v>
      </c>
      <c r="AM145" s="5">
        <f t="shared" si="124"/>
        <v>253.1238788273537</v>
      </c>
      <c r="AN145" s="26">
        <f t="shared" si="114"/>
        <v>-0.06990661930431315</v>
      </c>
      <c r="AO145" s="4">
        <f t="shared" si="93"/>
        <v>1.3276285270532906</v>
      </c>
      <c r="AP145" s="21">
        <f t="shared" si="78"/>
        <v>8.200000000000001</v>
      </c>
      <c r="AQ145" s="21">
        <f t="shared" si="128"/>
        <v>127.89999999999999</v>
      </c>
      <c r="AR145" s="21">
        <f t="shared" si="129"/>
        <v>30.779999999999998</v>
      </c>
      <c r="AS145" s="35">
        <f t="shared" si="94"/>
        <v>0.15324611015286368</v>
      </c>
      <c r="AT145" s="36">
        <f t="shared" si="95"/>
        <v>0.28339428831984764</v>
      </c>
      <c r="AU145" s="4">
        <f t="shared" si="96"/>
        <v>27.326555432502378</v>
      </c>
      <c r="AV145" s="4">
        <f t="shared" si="97"/>
        <v>0.09771532816509988</v>
      </c>
      <c r="AW145" s="4">
        <f t="shared" si="98"/>
        <v>0.008147613886361755</v>
      </c>
      <c r="AX145" s="21">
        <f t="shared" si="84"/>
        <v>9.635</v>
      </c>
      <c r="AY145" s="36">
        <f t="shared" si="99"/>
        <v>-0.05684365781710915</v>
      </c>
      <c r="AZ145" s="36">
        <f t="shared" si="100"/>
        <v>-0.17193096544047357</v>
      </c>
      <c r="BA145" s="36">
        <f t="shared" si="101"/>
        <v>-0.014701149425287356</v>
      </c>
      <c r="BB145" s="6">
        <f t="shared" si="115"/>
        <v>0.07374516806140859</v>
      </c>
      <c r="BC145" s="6">
        <f t="shared" si="125"/>
        <v>0.0014364106468070237</v>
      </c>
      <c r="BD145" s="4">
        <f t="shared" si="116"/>
        <v>0.8196529804773537</v>
      </c>
      <c r="BE145" s="4">
        <f>SUMPRODUCT(BC$4:BC145,$BD$213:BD$354)</f>
        <v>0.056835017341491344</v>
      </c>
      <c r="BF145" s="23">
        <f t="shared" si="117"/>
        <v>0.056835017341491344</v>
      </c>
      <c r="BG145" s="48"/>
    </row>
    <row r="146" spans="5:59" ht="15">
      <c r="E146" s="1">
        <f t="shared" si="118"/>
        <v>142</v>
      </c>
      <c r="F146" s="1">
        <f t="shared" si="102"/>
        <v>1892</v>
      </c>
      <c r="G146" s="3">
        <f t="shared" si="81"/>
        <v>0.18899999999999997</v>
      </c>
      <c r="H146" s="3">
        <f t="shared" si="82"/>
        <v>0.13620000000000004</v>
      </c>
      <c r="I146" s="5">
        <f t="shared" si="103"/>
        <v>0.06793035072699555</v>
      </c>
      <c r="J146" s="5">
        <f t="shared" si="119"/>
        <v>0.10245073682417252</v>
      </c>
      <c r="K146" s="4">
        <f t="shared" si="104"/>
        <v>0.15481891244883197</v>
      </c>
      <c r="L146" s="4">
        <f t="shared" si="105"/>
        <v>0.000366741082556978</v>
      </c>
      <c r="M146" s="4">
        <f t="shared" si="85"/>
        <v>0.3899975328677092</v>
      </c>
      <c r="N146" s="4">
        <f t="shared" si="106"/>
        <v>0.00014302811739845428</v>
      </c>
      <c r="O146" s="4">
        <f>SUMPRODUCT($M$4:M146,L$212:$L$354)</f>
        <v>0.24578139827429765</v>
      </c>
      <c r="P146" s="4">
        <f t="shared" si="107"/>
        <v>0.14421613459341157</v>
      </c>
      <c r="Q146" s="4">
        <f t="shared" si="120"/>
        <v>3.6437927777244328</v>
      </c>
      <c r="R146" s="4">
        <f t="shared" si="121"/>
        <v>4.800057342957698</v>
      </c>
      <c r="S146" s="4">
        <f t="shared" si="126"/>
        <v>0.03929160594125017</v>
      </c>
      <c r="T146" s="5">
        <f t="shared" si="122"/>
        <v>285.48557491162273</v>
      </c>
      <c r="U146" s="4">
        <f t="shared" si="108"/>
        <v>286.41377858724974</v>
      </c>
      <c r="V146" s="4">
        <f t="shared" si="86"/>
        <v>0.004025453979686114</v>
      </c>
      <c r="W146" s="4">
        <f>SUMPRODUCT($J$4:J146,$S$212:S$354)</f>
        <v>0.5894564164424733</v>
      </c>
      <c r="X146" s="6">
        <f t="shared" si="109"/>
        <v>0.12116648088514775</v>
      </c>
      <c r="Y146" s="4">
        <f t="shared" si="110"/>
        <v>1892</v>
      </c>
      <c r="Z146" s="4">
        <f t="shared" si="123"/>
        <v>142</v>
      </c>
      <c r="AA146" s="21">
        <f t="shared" si="111"/>
        <v>52.54</v>
      </c>
      <c r="AB146" s="6">
        <f t="shared" si="112"/>
        <v>158.8753745</v>
      </c>
      <c r="AC146" s="24">
        <f t="shared" si="87"/>
        <v>155.03777801690413</v>
      </c>
      <c r="AD146" s="4">
        <f t="shared" si="88"/>
        <v>6.534866434551796</v>
      </c>
      <c r="AE146" s="4">
        <f t="shared" si="89"/>
        <v>3.837596483095865</v>
      </c>
      <c r="AF146" s="6">
        <f t="shared" si="83"/>
        <v>1013.1511716501591</v>
      </c>
      <c r="AG146" s="30">
        <f t="shared" si="127"/>
        <v>0.165120763398783</v>
      </c>
      <c r="AH146" s="27">
        <v>0</v>
      </c>
      <c r="AI146" s="47">
        <f t="shared" si="113"/>
        <v>1.975</v>
      </c>
      <c r="AJ146" s="4">
        <f t="shared" si="90"/>
        <v>2.045702532169555</v>
      </c>
      <c r="AK146" s="4">
        <f t="shared" si="91"/>
        <v>123.69960739219069</v>
      </c>
      <c r="AL146" s="4">
        <f t="shared" si="92"/>
        <v>-0.07070253216955491</v>
      </c>
      <c r="AM146" s="5">
        <f t="shared" si="124"/>
        <v>253.0526000705843</v>
      </c>
      <c r="AN146" s="26">
        <f t="shared" si="114"/>
        <v>-0.07017544785167203</v>
      </c>
      <c r="AO146" s="4">
        <f t="shared" si="93"/>
        <v>1.3255133173608666</v>
      </c>
      <c r="AP146" s="21">
        <f t="shared" si="78"/>
        <v>8.4</v>
      </c>
      <c r="AQ146" s="21">
        <f t="shared" si="128"/>
        <v>129.8</v>
      </c>
      <c r="AR146" s="21">
        <f t="shared" si="129"/>
        <v>31.36</v>
      </c>
      <c r="AS146" s="35">
        <f t="shared" si="94"/>
        <v>0.15302531582171297</v>
      </c>
      <c r="AT146" s="36">
        <f t="shared" si="95"/>
        <v>0.28179979374352326</v>
      </c>
      <c r="AU146" s="4">
        <f t="shared" si="96"/>
        <v>27.37450153525745</v>
      </c>
      <c r="AV146" s="4">
        <f t="shared" si="97"/>
        <v>0.09972906448081295</v>
      </c>
      <c r="AW146" s="4">
        <f t="shared" si="98"/>
        <v>0.00825603816993915</v>
      </c>
      <c r="AX146" s="21">
        <f t="shared" si="84"/>
        <v>9.87</v>
      </c>
      <c r="AY146" s="36">
        <f t="shared" si="99"/>
        <v>-0.05823008849557522</v>
      </c>
      <c r="AZ146" s="36">
        <f t="shared" si="100"/>
        <v>-0.17571110628380268</v>
      </c>
      <c r="BA146" s="36">
        <f t="shared" si="101"/>
        <v>-0.01491954022988506</v>
      </c>
      <c r="BB146" s="6">
        <f t="shared" si="115"/>
        <v>0.07523616407374784</v>
      </c>
      <c r="BC146" s="6">
        <f t="shared" si="125"/>
        <v>0.001490996012339249</v>
      </c>
      <c r="BD146" s="4">
        <f t="shared" si="116"/>
        <v>0.8192426101699877</v>
      </c>
      <c r="BE146" s="4">
        <f>SUMPRODUCT(BC$4:BC146,$BD$212:BD$354)</f>
        <v>0.05752575665350343</v>
      </c>
      <c r="BF146" s="23">
        <f t="shared" si="117"/>
        <v>0.05752575665350343</v>
      </c>
      <c r="BG146" s="48"/>
    </row>
    <row r="147" spans="5:59" ht="15">
      <c r="E147" s="1">
        <f t="shared" si="118"/>
        <v>143</v>
      </c>
      <c r="F147" s="1">
        <f t="shared" si="102"/>
        <v>1893</v>
      </c>
      <c r="G147" s="3">
        <f t="shared" si="81"/>
        <v>0.19349999999999998</v>
      </c>
      <c r="H147" s="3">
        <f t="shared" si="82"/>
        <v>0.13730000000000003</v>
      </c>
      <c r="I147" s="5">
        <f t="shared" si="103"/>
        <v>0.06928577140138616</v>
      </c>
      <c r="J147" s="5">
        <f t="shared" si="119"/>
        <v>0.10464061965192552</v>
      </c>
      <c r="K147" s="4">
        <f t="shared" si="104"/>
        <v>0.15687360894668834</v>
      </c>
      <c r="L147" s="4">
        <f t="shared" si="105"/>
        <v>0.0003704437189757631</v>
      </c>
      <c r="M147" s="4">
        <f t="shared" si="85"/>
        <v>0.3993031654613476</v>
      </c>
      <c r="N147" s="4">
        <f t="shared" si="106"/>
        <v>0.00014791934961229608</v>
      </c>
      <c r="O147" s="4">
        <f>SUMPRODUCT($M$4:M147,L$211:$L$354)</f>
        <v>0.25220947277620476</v>
      </c>
      <c r="P147" s="4">
        <f t="shared" si="107"/>
        <v>0.14709369268514283</v>
      </c>
      <c r="Q147" s="4">
        <f t="shared" si="120"/>
        <v>3.7386517462760183</v>
      </c>
      <c r="R147" s="4">
        <f t="shared" si="121"/>
        <v>4.926386623350044</v>
      </c>
      <c r="S147" s="4">
        <f t="shared" si="126"/>
        <v>0.03938119819781405</v>
      </c>
      <c r="T147" s="5">
        <f t="shared" si="122"/>
        <v>285.6205534856521</v>
      </c>
      <c r="U147" s="4">
        <f t="shared" si="108"/>
        <v>286.56859749969857</v>
      </c>
      <c r="V147" s="4">
        <f t="shared" si="86"/>
        <v>0.004120872982054554</v>
      </c>
      <c r="W147" s="4">
        <f>SUMPRODUCT($J$4:J147,$S$211:S$354)</f>
        <v>0.6046021382849347</v>
      </c>
      <c r="X147" s="6">
        <f t="shared" si="109"/>
        <v>0.12405760367120845</v>
      </c>
      <c r="Y147" s="4">
        <f t="shared" si="110"/>
        <v>1893</v>
      </c>
      <c r="Z147" s="4">
        <f t="shared" si="123"/>
        <v>143</v>
      </c>
      <c r="AA147" s="21">
        <f t="shared" si="111"/>
        <v>52.91</v>
      </c>
      <c r="AB147" s="6">
        <f t="shared" si="112"/>
        <v>159.2453745</v>
      </c>
      <c r="AC147" s="24">
        <f t="shared" si="87"/>
        <v>155.40119019267757</v>
      </c>
      <c r="AD147" s="4">
        <f t="shared" si="88"/>
        <v>6.544279145303323</v>
      </c>
      <c r="AE147" s="4">
        <f t="shared" si="89"/>
        <v>3.844184307322422</v>
      </c>
      <c r="AF147" s="6">
        <f t="shared" si="83"/>
        <v>1016.988768133255</v>
      </c>
      <c r="AG147" s="30">
        <f t="shared" si="127"/>
        <v>0.16728888689867877</v>
      </c>
      <c r="AH147" s="27">
        <v>0</v>
      </c>
      <c r="AI147" s="47">
        <f t="shared" si="113"/>
        <v>1.975</v>
      </c>
      <c r="AJ147" s="4">
        <f t="shared" si="90"/>
        <v>2.0451309658270254</v>
      </c>
      <c r="AK147" s="4">
        <f t="shared" si="91"/>
        <v>123.69960739219069</v>
      </c>
      <c r="AL147" s="4">
        <f t="shared" si="92"/>
        <v>-0.07013096582702527</v>
      </c>
      <c r="AM147" s="5">
        <f t="shared" si="124"/>
        <v>252.98189753841476</v>
      </c>
      <c r="AN147" s="26">
        <f t="shared" si="114"/>
        <v>-0.0704421405681093</v>
      </c>
      <c r="AO147" s="4">
        <f t="shared" si="93"/>
        <v>1.3234047781048808</v>
      </c>
      <c r="AP147" s="21">
        <f t="shared" si="78"/>
        <v>8.6</v>
      </c>
      <c r="AQ147" s="21">
        <f t="shared" si="128"/>
        <v>131.7</v>
      </c>
      <c r="AR147" s="21">
        <f t="shared" si="129"/>
        <v>31.939999999999998</v>
      </c>
      <c r="AS147" s="35">
        <f t="shared" si="94"/>
        <v>0.15280521777829065</v>
      </c>
      <c r="AT147" s="36">
        <f t="shared" si="95"/>
        <v>0.2802077930660164</v>
      </c>
      <c r="AU147" s="4">
        <f t="shared" si="96"/>
        <v>27.422408670843495</v>
      </c>
      <c r="AV147" s="4">
        <f t="shared" si="97"/>
        <v>0.10174116417542681</v>
      </c>
      <c r="AW147" s="4">
        <f t="shared" si="98"/>
        <v>0.008364444344933938</v>
      </c>
      <c r="AX147" s="21">
        <f t="shared" si="84"/>
        <v>10.104999999999999</v>
      </c>
      <c r="AY147" s="36">
        <f t="shared" si="99"/>
        <v>-0.059616519174041295</v>
      </c>
      <c r="AZ147" s="36">
        <f t="shared" si="100"/>
        <v>-0.17947415963243957</v>
      </c>
      <c r="BA147" s="36">
        <f t="shared" si="101"/>
        <v>-0.015137931034482757</v>
      </c>
      <c r="BB147" s="6">
        <f t="shared" si="115"/>
        <v>0.07678134868117505</v>
      </c>
      <c r="BC147" s="6">
        <f t="shared" si="125"/>
        <v>0.0015451846074272108</v>
      </c>
      <c r="BD147" s="4">
        <f t="shared" si="116"/>
        <v>0.8188313043736999</v>
      </c>
      <c r="BE147" s="4">
        <f>SUMPRODUCT(BC$4:BC147,$BD$211:BD$354)</f>
        <v>0.05824622055386607</v>
      </c>
      <c r="BF147" s="23">
        <f t="shared" si="117"/>
        <v>0.05824622055386607</v>
      </c>
      <c r="BG147" s="48"/>
    </row>
    <row r="148" spans="5:59" ht="15">
      <c r="E148" s="1">
        <f t="shared" si="118"/>
        <v>144</v>
      </c>
      <c r="F148" s="1">
        <f t="shared" si="102"/>
        <v>1894</v>
      </c>
      <c r="G148" s="3">
        <f t="shared" si="81"/>
        <v>0.19799999999999998</v>
      </c>
      <c r="H148" s="3">
        <f t="shared" si="82"/>
        <v>0.13840000000000002</v>
      </c>
      <c r="I148" s="5">
        <f t="shared" si="103"/>
        <v>0.07064766663623424</v>
      </c>
      <c r="J148" s="5">
        <f t="shared" si="119"/>
        <v>0.10683155385099875</v>
      </c>
      <c r="K148" s="4">
        <f t="shared" si="104"/>
        <v>0.15892077951276706</v>
      </c>
      <c r="L148" s="4">
        <f t="shared" si="105"/>
        <v>0.0003741844302614041</v>
      </c>
      <c r="M148" s="4">
        <f t="shared" si="85"/>
        <v>0.40872717230670724</v>
      </c>
      <c r="N148" s="4">
        <f t="shared" si="106"/>
        <v>0.00015293934410194</v>
      </c>
      <c r="O148" s="4">
        <f>SUMPRODUCT($M$4:M148,L$210:$L$354)</f>
        <v>0.25874217603798194</v>
      </c>
      <c r="P148" s="4">
        <f t="shared" si="107"/>
        <v>0.1499849962687253</v>
      </c>
      <c r="Q148" s="4">
        <f t="shared" si="120"/>
        <v>3.834714114646989</v>
      </c>
      <c r="R148" s="4">
        <f t="shared" si="121"/>
        <v>5.054390006004913</v>
      </c>
      <c r="S148" s="4">
        <f t="shared" si="126"/>
        <v>0.039471458456798746</v>
      </c>
      <c r="T148" s="5">
        <f t="shared" si="122"/>
        <v>285.7575772307552</v>
      </c>
      <c r="U148" s="4">
        <f t="shared" si="108"/>
        <v>286.72547110864525</v>
      </c>
      <c r="V148" s="4">
        <f t="shared" si="86"/>
        <v>0.004216797239704955</v>
      </c>
      <c r="W148" s="4">
        <f>SUMPRODUCT($J$4:J148,$S$210:S$354)</f>
        <v>0.6199353342223736</v>
      </c>
      <c r="X148" s="6">
        <f t="shared" si="109"/>
        <v>0.12698550359122437</v>
      </c>
      <c r="Y148" s="4">
        <f t="shared" si="110"/>
        <v>1894</v>
      </c>
      <c r="Z148" s="4">
        <f t="shared" si="123"/>
        <v>144</v>
      </c>
      <c r="AA148" s="21">
        <f t="shared" si="111"/>
        <v>53.28</v>
      </c>
      <c r="AB148" s="6">
        <f t="shared" si="112"/>
        <v>159.6153745</v>
      </c>
      <c r="AC148" s="24">
        <f t="shared" si="87"/>
        <v>155.76462648201996</v>
      </c>
      <c r="AD148" s="4">
        <f t="shared" si="88"/>
        <v>6.553689213631652</v>
      </c>
      <c r="AE148" s="4">
        <f t="shared" si="89"/>
        <v>3.850748017980038</v>
      </c>
      <c r="AF148" s="6">
        <f t="shared" si="83"/>
        <v>1020.8329524405774</v>
      </c>
      <c r="AG148" s="30">
        <f t="shared" si="127"/>
        <v>0.16945663494830485</v>
      </c>
      <c r="AH148" s="27">
        <v>0</v>
      </c>
      <c r="AI148" s="47">
        <f t="shared" si="113"/>
        <v>1.975</v>
      </c>
      <c r="AJ148" s="4">
        <f t="shared" si="90"/>
        <v>2.0445640200839827</v>
      </c>
      <c r="AK148" s="4">
        <f t="shared" si="91"/>
        <v>123.69960739219069</v>
      </c>
      <c r="AL148" s="4">
        <f t="shared" si="92"/>
        <v>-0.06956402008398266</v>
      </c>
      <c r="AM148" s="5">
        <f t="shared" si="124"/>
        <v>252.91176657258774</v>
      </c>
      <c r="AN148" s="26">
        <f t="shared" si="114"/>
        <v>-0.07070671413298406</v>
      </c>
      <c r="AO148" s="4">
        <f t="shared" si="93"/>
        <v>1.3213028849899853</v>
      </c>
      <c r="AP148" s="21">
        <f t="shared" si="78"/>
        <v>8.8</v>
      </c>
      <c r="AQ148" s="21">
        <f t="shared" si="128"/>
        <v>133.6</v>
      </c>
      <c r="AR148" s="21">
        <f t="shared" si="129"/>
        <v>32.52</v>
      </c>
      <c r="AS148" s="35">
        <f t="shared" si="94"/>
        <v>0.1525858134865479</v>
      </c>
      <c r="AT148" s="36">
        <f t="shared" si="95"/>
        <v>0.2786182838837586</v>
      </c>
      <c r="AU148" s="4">
        <f t="shared" si="96"/>
        <v>27.47027687681627</v>
      </c>
      <c r="AV148" s="4">
        <f t="shared" si="97"/>
        <v>0.1037516288262834</v>
      </c>
      <c r="AW148" s="4">
        <f t="shared" si="98"/>
        <v>0.008472831747415243</v>
      </c>
      <c r="AX148" s="21">
        <f t="shared" si="84"/>
        <v>10.34</v>
      </c>
      <c r="AY148" s="36">
        <f t="shared" si="99"/>
        <v>-0.06100294985250737</v>
      </c>
      <c r="AZ148" s="36">
        <f t="shared" si="100"/>
        <v>-0.18322027927380027</v>
      </c>
      <c r="BA148" s="36">
        <f t="shared" si="101"/>
        <v>-0.015356321839080459</v>
      </c>
      <c r="BB148" s="6">
        <f t="shared" si="115"/>
        <v>0.07838033401485572</v>
      </c>
      <c r="BC148" s="6">
        <f t="shared" si="125"/>
        <v>0.0015989853336806775</v>
      </c>
      <c r="BD148" s="4">
        <f t="shared" si="116"/>
        <v>0.8184190608327846</v>
      </c>
      <c r="BE148" s="4">
        <f>SUMPRODUCT(BC$4:BC148,$BD$210:BD$354)</f>
        <v>0.058997086091239756</v>
      </c>
      <c r="BF148" s="23">
        <f t="shared" si="117"/>
        <v>0.058997086091239756</v>
      </c>
      <c r="BG148" s="48"/>
    </row>
    <row r="149" spans="5:59" ht="15">
      <c r="E149" s="1">
        <f t="shared" si="118"/>
        <v>145</v>
      </c>
      <c r="F149" s="1">
        <f t="shared" si="102"/>
        <v>1895</v>
      </c>
      <c r="G149" s="3">
        <f t="shared" si="81"/>
        <v>0.20249999999999999</v>
      </c>
      <c r="H149" s="3">
        <f t="shared" si="82"/>
        <v>0.1395</v>
      </c>
      <c r="I149" s="5">
        <f t="shared" si="103"/>
        <v>0.07201583830285575</v>
      </c>
      <c r="J149" s="5">
        <f t="shared" si="119"/>
        <v>0.10902354209334036</v>
      </c>
      <c r="K149" s="4">
        <f t="shared" si="104"/>
        <v>0.16096061960380387</v>
      </c>
      <c r="L149" s="4">
        <f t="shared" si="105"/>
        <v>0.00037796364330692573</v>
      </c>
      <c r="M149" s="4">
        <f t="shared" si="85"/>
        <v>0.41826890465744404</v>
      </c>
      <c r="N149" s="4">
        <f t="shared" si="106"/>
        <v>0.0001580904390863247</v>
      </c>
      <c r="O149" s="4">
        <f>SUMPRODUCT($M$4:M149,L$209:$L$354)</f>
        <v>0.26537927994048127</v>
      </c>
      <c r="P149" s="4">
        <f t="shared" si="107"/>
        <v>0.15288962471696277</v>
      </c>
      <c r="Q149" s="4">
        <f t="shared" si="120"/>
        <v>3.931965545233618</v>
      </c>
      <c r="R149" s="4">
        <f t="shared" si="121"/>
        <v>5.184051123181482</v>
      </c>
      <c r="S149" s="4">
        <f t="shared" si="126"/>
        <v>0.03956239386714376</v>
      </c>
      <c r="T149" s="5">
        <f t="shared" si="122"/>
        <v>285.89663859679234</v>
      </c>
      <c r="U149" s="4">
        <f t="shared" si="108"/>
        <v>286.884391888158</v>
      </c>
      <c r="V149" s="4">
        <f t="shared" si="86"/>
        <v>0.004313232313087859</v>
      </c>
      <c r="W149" s="4">
        <f>SUMPRODUCT($J$4:J149,$S$209:S$354)</f>
        <v>0.6354538475678468</v>
      </c>
      <c r="X149" s="6">
        <f t="shared" si="109"/>
        <v>0.12994997908927558</v>
      </c>
      <c r="Y149" s="4">
        <f t="shared" si="110"/>
        <v>1895</v>
      </c>
      <c r="Z149" s="4">
        <f t="shared" si="123"/>
        <v>145</v>
      </c>
      <c r="AA149" s="21">
        <f t="shared" si="111"/>
        <v>53.65</v>
      </c>
      <c r="AB149" s="6">
        <f t="shared" si="112"/>
        <v>159.9853745</v>
      </c>
      <c r="AC149" s="24">
        <f t="shared" si="87"/>
        <v>156.1280841440241</v>
      </c>
      <c r="AD149" s="4">
        <f t="shared" si="88"/>
        <v>6.56309661440099</v>
      </c>
      <c r="AE149" s="4">
        <f t="shared" si="89"/>
        <v>3.8572903559759197</v>
      </c>
      <c r="AF149" s="6">
        <f t="shared" si="83"/>
        <v>1024.6837004585575</v>
      </c>
      <c r="AG149" s="30">
        <f t="shared" si="127"/>
        <v>0.1716239961070806</v>
      </c>
      <c r="AH149" s="27">
        <v>0</v>
      </c>
      <c r="AI149" s="47">
        <f t="shared" si="113"/>
        <v>1.975</v>
      </c>
      <c r="AJ149" s="4">
        <f t="shared" si="90"/>
        <v>2.0440016575870392</v>
      </c>
      <c r="AK149" s="4">
        <f t="shared" si="91"/>
        <v>123.69960739219069</v>
      </c>
      <c r="AL149" s="4">
        <f t="shared" si="92"/>
        <v>-0.06900165758703913</v>
      </c>
      <c r="AM149" s="5">
        <f t="shared" si="124"/>
        <v>252.84220255250375</v>
      </c>
      <c r="AN149" s="26">
        <f t="shared" si="114"/>
        <v>-0.07096918509990707</v>
      </c>
      <c r="AO149" s="4">
        <f t="shared" si="93"/>
        <v>1.3192076124803587</v>
      </c>
      <c r="AP149" s="21">
        <f t="shared" si="78"/>
        <v>9</v>
      </c>
      <c r="AQ149" s="21">
        <f t="shared" si="128"/>
        <v>135.5</v>
      </c>
      <c r="AR149" s="21">
        <f t="shared" si="129"/>
        <v>33.1</v>
      </c>
      <c r="AS149" s="35">
        <f t="shared" si="94"/>
        <v>0.15236710028095013</v>
      </c>
      <c r="AT149" s="36">
        <f t="shared" si="95"/>
        <v>0.277031262774467</v>
      </c>
      <c r="AU149" s="4">
        <f t="shared" si="96"/>
        <v>27.51810620664895</v>
      </c>
      <c r="AV149" s="4">
        <f t="shared" si="97"/>
        <v>0.10576046067925597</v>
      </c>
      <c r="AW149" s="4">
        <f t="shared" si="98"/>
        <v>0.00858119980535403</v>
      </c>
      <c r="AX149" s="21">
        <f t="shared" si="84"/>
        <v>10.575</v>
      </c>
      <c r="AY149" s="36">
        <f t="shared" si="99"/>
        <v>-0.062389380530973454</v>
      </c>
      <c r="AZ149" s="36">
        <f t="shared" si="100"/>
        <v>-0.18694961692846862</v>
      </c>
      <c r="BA149" s="36">
        <f t="shared" si="101"/>
        <v>-0.01557471264367816</v>
      </c>
      <c r="BB149" s="6">
        <f t="shared" si="115"/>
        <v>0.08003274047793887</v>
      </c>
      <c r="BC149" s="6">
        <f t="shared" si="125"/>
        <v>0.0016524064630831503</v>
      </c>
      <c r="BD149" s="4">
        <f t="shared" si="116"/>
        <v>0.8180058772772585</v>
      </c>
      <c r="BE149" s="4">
        <f>SUMPRODUCT(BC$4:BC149,$BD$209:BD$354)</f>
        <v>0.05977896835076275</v>
      </c>
      <c r="BF149" s="23">
        <f t="shared" si="117"/>
        <v>0.05977896835076275</v>
      </c>
      <c r="BG149" s="48"/>
    </row>
    <row r="150" spans="5:59" ht="15">
      <c r="E150" s="1">
        <f t="shared" si="118"/>
        <v>146</v>
      </c>
      <c r="F150" s="1">
        <f t="shared" si="102"/>
        <v>1896</v>
      </c>
      <c r="G150" s="3">
        <f t="shared" si="81"/>
        <v>0.207</v>
      </c>
      <c r="H150" s="3">
        <f t="shared" si="82"/>
        <v>0.1406</v>
      </c>
      <c r="I150" s="5">
        <f t="shared" si="103"/>
        <v>0.07339009376670967</v>
      </c>
      <c r="J150" s="5">
        <f t="shared" si="119"/>
        <v>0.11121659171353321</v>
      </c>
      <c r="K150" s="4">
        <f t="shared" si="104"/>
        <v>0.16299331451975713</v>
      </c>
      <c r="L150" s="4">
        <f t="shared" si="105"/>
        <v>0.00038178179156363716</v>
      </c>
      <c r="M150" s="4">
        <f t="shared" si="85"/>
        <v>0.42792772429281634</v>
      </c>
      <c r="N150" s="4">
        <f t="shared" si="106"/>
        <v>0.0001633750132402616</v>
      </c>
      <c r="O150" s="4">
        <f>SUMPRODUCT($M$4:M150,L$208:$L$354)</f>
        <v>0.2721205552260917</v>
      </c>
      <c r="P150" s="4">
        <f t="shared" si="107"/>
        <v>0.15580716906672465</v>
      </c>
      <c r="Q150" s="4">
        <f t="shared" si="120"/>
        <v>4.030392359159603</v>
      </c>
      <c r="R150" s="4">
        <f t="shared" si="121"/>
        <v>5.315354479779304</v>
      </c>
      <c r="S150" s="4">
        <f t="shared" si="126"/>
        <v>0.03965401167899961</v>
      </c>
      <c r="T150" s="5">
        <f t="shared" si="122"/>
        <v>286.0377301868372</v>
      </c>
      <c r="U150" s="4">
        <f t="shared" si="108"/>
        <v>287.04535250776183</v>
      </c>
      <c r="V150" s="4">
        <f t="shared" si="86"/>
        <v>0.004410184026706977</v>
      </c>
      <c r="W150" s="4">
        <f>SUMPRODUCT($J$4:J150,$S$208:S$354)</f>
        <v>0.651155618894858</v>
      </c>
      <c r="X150" s="6">
        <f t="shared" si="109"/>
        <v>0.1329508318795916</v>
      </c>
      <c r="Y150" s="4">
        <f t="shared" si="110"/>
        <v>1896</v>
      </c>
      <c r="Z150" s="4">
        <f t="shared" si="123"/>
        <v>146</v>
      </c>
      <c r="AA150" s="21">
        <f t="shared" si="111"/>
        <v>54.019999999999996</v>
      </c>
      <c r="AB150" s="6">
        <f t="shared" si="112"/>
        <v>160.35537449999998</v>
      </c>
      <c r="AC150" s="24">
        <f t="shared" si="87"/>
        <v>156.49156074819518</v>
      </c>
      <c r="AD150" s="4">
        <f t="shared" si="88"/>
        <v>6.5725013278480935</v>
      </c>
      <c r="AE150" s="4">
        <f t="shared" si="89"/>
        <v>3.8638137518047984</v>
      </c>
      <c r="AF150" s="6">
        <f t="shared" si="83"/>
        <v>1028.5409908145334</v>
      </c>
      <c r="AG150" s="30">
        <f t="shared" si="127"/>
        <v>0.17379096055830415</v>
      </c>
      <c r="AH150" s="27">
        <v>0</v>
      </c>
      <c r="AI150" s="47">
        <f t="shared" si="113"/>
        <v>1.975</v>
      </c>
      <c r="AJ150" s="4">
        <f t="shared" si="90"/>
        <v>2.043443841284775</v>
      </c>
      <c r="AK150" s="4">
        <f t="shared" si="91"/>
        <v>123.69960739219069</v>
      </c>
      <c r="AL150" s="4">
        <f t="shared" si="92"/>
        <v>-0.06844384128477499</v>
      </c>
      <c r="AM150" s="5">
        <f t="shared" si="124"/>
        <v>252.7732008949167</v>
      </c>
      <c r="AN150" s="26">
        <f t="shared" si="114"/>
        <v>-0.07122956989762108</v>
      </c>
      <c r="AO150" s="4">
        <f t="shared" si="93"/>
        <v>1.3171189339789462</v>
      </c>
      <c r="AP150" s="21">
        <f t="shared" si="78"/>
        <v>9.200000000000001</v>
      </c>
      <c r="AQ150" s="21">
        <f t="shared" si="128"/>
        <v>137.39999999999998</v>
      </c>
      <c r="AR150" s="21">
        <f t="shared" si="129"/>
        <v>33.68</v>
      </c>
      <c r="AS150" s="35">
        <f t="shared" si="94"/>
        <v>0.15214907538518682</v>
      </c>
      <c r="AT150" s="36">
        <f t="shared" si="95"/>
        <v>0.2754467254255324</v>
      </c>
      <c r="AU150" s="4">
        <f t="shared" si="96"/>
        <v>27.56589672772606</v>
      </c>
      <c r="AV150" s="4">
        <f t="shared" si="97"/>
        <v>0.1077676625644945</v>
      </c>
      <c r="AW150" s="4">
        <f t="shared" si="98"/>
        <v>0.008689548027915207</v>
      </c>
      <c r="AX150" s="21">
        <f t="shared" si="84"/>
        <v>10.809999999999999</v>
      </c>
      <c r="AY150" s="36">
        <f t="shared" si="99"/>
        <v>-0.06377581120943952</v>
      </c>
      <c r="AZ150" s="36">
        <f t="shared" si="100"/>
        <v>-0.19066232228706773</v>
      </c>
      <c r="BA150" s="36">
        <f t="shared" si="101"/>
        <v>-0.01579310344827586</v>
      </c>
      <c r="BB150" s="6">
        <f t="shared" si="115"/>
        <v>0.08173819618790126</v>
      </c>
      <c r="BC150" s="6">
        <f t="shared" si="125"/>
        <v>0.001705455709962389</v>
      </c>
      <c r="BD150" s="4">
        <f t="shared" si="116"/>
        <v>0.8175917514221698</v>
      </c>
      <c r="BE150" s="4">
        <f>SUMPRODUCT(BC$4:BC150,$BD$208:BD$354)</f>
        <v>0.06059242498900252</v>
      </c>
      <c r="BF150" s="23">
        <f t="shared" si="117"/>
        <v>0.06059242498900252</v>
      </c>
      <c r="BG150" s="48"/>
    </row>
    <row r="151" spans="5:59" ht="15">
      <c r="E151" s="1">
        <f t="shared" si="118"/>
        <v>147</v>
      </c>
      <c r="F151" s="1">
        <f t="shared" si="102"/>
        <v>1897</v>
      </c>
      <c r="G151" s="3">
        <f t="shared" si="81"/>
        <v>0.2115</v>
      </c>
      <c r="H151" s="3">
        <f t="shared" si="82"/>
        <v>0.1417</v>
      </c>
      <c r="I151" s="5">
        <f t="shared" si="103"/>
        <v>0.07477024567786461</v>
      </c>
      <c r="J151" s="5">
        <f t="shared" si="119"/>
        <v>0.11341071371856502</v>
      </c>
      <c r="K151" s="4">
        <f t="shared" si="104"/>
        <v>0.1650190406035703</v>
      </c>
      <c r="L151" s="4">
        <f t="shared" si="105"/>
        <v>0.00038563931522332434</v>
      </c>
      <c r="M151" s="4">
        <f t="shared" si="85"/>
        <v>0.437703002918154</v>
      </c>
      <c r="N151" s="4">
        <f t="shared" si="106"/>
        <v>0.00016879548631654965</v>
      </c>
      <c r="O151" s="4">
        <f>SUMPRODUCT($M$4:M151,L$207:$L$354)</f>
        <v>0.27896577134404743</v>
      </c>
      <c r="P151" s="4">
        <f t="shared" si="107"/>
        <v>0.15873723157410657</v>
      </c>
      <c r="Q151" s="4">
        <f t="shared" si="120"/>
        <v>4.129981494427055</v>
      </c>
      <c r="R151" s="4">
        <f t="shared" si="121"/>
        <v>5.448285398745722</v>
      </c>
      <c r="S151" s="4">
        <f t="shared" si="126"/>
        <v>0.03974631924562852</v>
      </c>
      <c r="T151" s="5">
        <f t="shared" si="122"/>
        <v>286.1808447559914</v>
      </c>
      <c r="U151" s="4">
        <f t="shared" si="108"/>
        <v>287.2083458222816</v>
      </c>
      <c r="V151" s="4">
        <f t="shared" si="86"/>
        <v>0.004507658433332667</v>
      </c>
      <c r="W151" s="4">
        <f>SUMPRODUCT($J$4:J151,$S$207:S$354)</f>
        <v>0.6670386798578717</v>
      </c>
      <c r="X151" s="6">
        <f t="shared" si="109"/>
        <v>0.13598786676028593</v>
      </c>
      <c r="Y151" s="4">
        <f t="shared" si="110"/>
        <v>1897</v>
      </c>
      <c r="Z151" s="4">
        <f t="shared" si="123"/>
        <v>147</v>
      </c>
      <c r="AA151" s="21">
        <f t="shared" si="111"/>
        <v>54.39</v>
      </c>
      <c r="AB151" s="6">
        <f t="shared" si="112"/>
        <v>160.7253745</v>
      </c>
      <c r="AC151" s="24">
        <f t="shared" si="87"/>
        <v>156.85505413879594</v>
      </c>
      <c r="AD151" s="4">
        <f t="shared" si="88"/>
        <v>6.581903338943715</v>
      </c>
      <c r="AE151" s="4">
        <f t="shared" si="89"/>
        <v>3.870320361204051</v>
      </c>
      <c r="AF151" s="6">
        <f t="shared" si="83"/>
        <v>1032.4048045663383</v>
      </c>
      <c r="AG151" s="30">
        <f t="shared" si="127"/>
        <v>0.17595751992000952</v>
      </c>
      <c r="AH151" s="27">
        <v>0</v>
      </c>
      <c r="AI151" s="47">
        <f t="shared" si="113"/>
        <v>1.975</v>
      </c>
      <c r="AJ151" s="4">
        <f t="shared" si="90"/>
        <v>2.0428905344252977</v>
      </c>
      <c r="AK151" s="4">
        <f t="shared" si="91"/>
        <v>123.69960739219069</v>
      </c>
      <c r="AL151" s="4">
        <f t="shared" si="92"/>
        <v>-0.06789053442529758</v>
      </c>
      <c r="AM151" s="5">
        <f t="shared" si="124"/>
        <v>252.70475705363194</v>
      </c>
      <c r="AN151" s="26">
        <f t="shared" si="114"/>
        <v>-0.07148788483087287</v>
      </c>
      <c r="AO151" s="4">
        <f t="shared" si="93"/>
        <v>1.3150368219848922</v>
      </c>
      <c r="AP151" s="21">
        <f t="shared" si="78"/>
        <v>9.4</v>
      </c>
      <c r="AQ151" s="21">
        <f t="shared" si="128"/>
        <v>139.3</v>
      </c>
      <c r="AR151" s="21">
        <f t="shared" si="129"/>
        <v>34.26</v>
      </c>
      <c r="AS151" s="35">
        <f t="shared" si="94"/>
        <v>0.15193173592860498</v>
      </c>
      <c r="AT151" s="36">
        <f t="shared" si="95"/>
        <v>0.2738646667471167</v>
      </c>
      <c r="AU151" s="4">
        <f t="shared" si="96"/>
        <v>27.613648519576305</v>
      </c>
      <c r="AV151" s="4">
        <f t="shared" si="97"/>
        <v>0.10977323782220481</v>
      </c>
      <c r="AW151" s="4">
        <f t="shared" si="98"/>
        <v>0.008797875996000477</v>
      </c>
      <c r="AX151" s="21">
        <f t="shared" si="84"/>
        <v>11.045</v>
      </c>
      <c r="AY151" s="36">
        <f t="shared" si="99"/>
        <v>-0.0651622418879056</v>
      </c>
      <c r="AZ151" s="36">
        <f t="shared" si="100"/>
        <v>-0.1943585430463117</v>
      </c>
      <c r="BA151" s="36">
        <f t="shared" si="101"/>
        <v>-0.016011494252873567</v>
      </c>
      <c r="BB151" s="6">
        <f t="shared" si="115"/>
        <v>0.08349633648053698</v>
      </c>
      <c r="BC151" s="6">
        <f t="shared" si="125"/>
        <v>0.0017581402926357126</v>
      </c>
      <c r="BD151" s="4">
        <f t="shared" si="116"/>
        <v>0.8171766809668595</v>
      </c>
      <c r="BE151" s="4">
        <f>SUMPRODUCT(BC$4:BC151,$BD$207:BD$354)</f>
        <v>0.06143796043813928</v>
      </c>
      <c r="BF151" s="23">
        <f t="shared" si="117"/>
        <v>0.06143796043813928</v>
      </c>
      <c r="BG151" s="48"/>
    </row>
    <row r="152" spans="5:59" ht="15">
      <c r="E152" s="1">
        <f t="shared" si="118"/>
        <v>148</v>
      </c>
      <c r="F152" s="1">
        <f t="shared" si="102"/>
        <v>1898</v>
      </c>
      <c r="G152" s="3">
        <f t="shared" si="81"/>
        <v>0.21599999999999997</v>
      </c>
      <c r="H152" s="3">
        <f t="shared" si="82"/>
        <v>0.14279999999999998</v>
      </c>
      <c r="I152" s="5">
        <f t="shared" si="103"/>
        <v>0.07615611177448824</v>
      </c>
      <c r="J152" s="5">
        <f t="shared" si="119"/>
        <v>0.1156059219801687</v>
      </c>
      <c r="K152" s="4">
        <f t="shared" si="104"/>
        <v>0.16703796624534303</v>
      </c>
      <c r="L152" s="4">
        <f t="shared" si="105"/>
        <v>0.0003895366614082331</v>
      </c>
      <c r="M152" s="4">
        <f t="shared" si="85"/>
        <v>0.4475941216380068</v>
      </c>
      <c r="N152" s="4">
        <f t="shared" si="106"/>
        <v>0.00017435431980881977</v>
      </c>
      <c r="O152" s="4">
        <f>SUMPRODUCT($M$4:M152,L$206:$L$354)</f>
        <v>0.28591469634076827</v>
      </c>
      <c r="P152" s="4">
        <f t="shared" si="107"/>
        <v>0.16167942529723855</v>
      </c>
      <c r="Q152" s="4">
        <f t="shared" si="120"/>
        <v>4.230720466722855</v>
      </c>
      <c r="R152" s="4">
        <f t="shared" si="121"/>
        <v>5.582829969939245</v>
      </c>
      <c r="S152" s="4">
        <f t="shared" si="126"/>
        <v>0.0398393240253587</v>
      </c>
      <c r="T152" s="5">
        <f t="shared" si="122"/>
        <v>286.32597520974485</v>
      </c>
      <c r="U152" s="4">
        <f t="shared" si="108"/>
        <v>287.3733648628852</v>
      </c>
      <c r="V152" s="4">
        <f t="shared" si="86"/>
        <v>0.004605661785018277</v>
      </c>
      <c r="W152" s="4">
        <f>SUMPRODUCT($J$4:J152,$S$206:S$354)</f>
        <v>0.6831011474762068</v>
      </c>
      <c r="X152" s="6">
        <f t="shared" si="109"/>
        <v>0.1390608914496711</v>
      </c>
      <c r="Y152" s="4">
        <f t="shared" si="110"/>
        <v>1898</v>
      </c>
      <c r="Z152" s="4">
        <f t="shared" si="123"/>
        <v>148</v>
      </c>
      <c r="AA152" s="21">
        <f t="shared" si="111"/>
        <v>54.76</v>
      </c>
      <c r="AB152" s="6">
        <f t="shared" si="112"/>
        <v>161.0953745</v>
      </c>
      <c r="AC152" s="24">
        <f t="shared" si="87"/>
        <v>157.2185624033312</v>
      </c>
      <c r="AD152" s="4">
        <f t="shared" si="88"/>
        <v>6.591302636829004</v>
      </c>
      <c r="AE152" s="4">
        <f t="shared" si="89"/>
        <v>3.8768120966688002</v>
      </c>
      <c r="AF152" s="6">
        <f t="shared" si="83"/>
        <v>1036.2751249275423</v>
      </c>
      <c r="AG152" s="30">
        <f t="shared" si="127"/>
        <v>0.17812366707789248</v>
      </c>
      <c r="AH152" s="27">
        <v>0</v>
      </c>
      <c r="AI152" s="47">
        <f t="shared" si="113"/>
        <v>1.975</v>
      </c>
      <c r="AJ152" s="4">
        <f t="shared" si="90"/>
        <v>2.0423417005538202</v>
      </c>
      <c r="AK152" s="4">
        <f t="shared" si="91"/>
        <v>123.69960739219069</v>
      </c>
      <c r="AL152" s="4">
        <f t="shared" si="92"/>
        <v>-0.06734170055382016</v>
      </c>
      <c r="AM152" s="5">
        <f t="shared" si="124"/>
        <v>252.63686651920665</v>
      </c>
      <c r="AN152" s="26">
        <f t="shared" si="114"/>
        <v>-0.07174414608128252</v>
      </c>
      <c r="AO152" s="4">
        <f t="shared" si="93"/>
        <v>1.3129612482318063</v>
      </c>
      <c r="AP152" s="21">
        <f t="shared" si="78"/>
        <v>9.600000000000001</v>
      </c>
      <c r="AQ152" s="21">
        <f t="shared" si="128"/>
        <v>141.2</v>
      </c>
      <c r="AR152" s="21">
        <f t="shared" si="129"/>
        <v>34.839999999999996</v>
      </c>
      <c r="AS152" s="35">
        <f t="shared" si="94"/>
        <v>0.15171507896064196</v>
      </c>
      <c r="AT152" s="36">
        <f t="shared" si="95"/>
        <v>0.2722850809717915</v>
      </c>
      <c r="AU152" s="4">
        <f t="shared" si="96"/>
        <v>27.661361672315756</v>
      </c>
      <c r="AV152" s="4">
        <f t="shared" si="97"/>
        <v>0.11177719023726176</v>
      </c>
      <c r="AW152" s="4">
        <f t="shared" si="98"/>
        <v>0.008906183353894625</v>
      </c>
      <c r="AX152" s="21">
        <f t="shared" si="84"/>
        <v>11.28</v>
      </c>
      <c r="AY152" s="36">
        <f t="shared" si="99"/>
        <v>-0.06654867256637169</v>
      </c>
      <c r="AZ152" s="36">
        <f t="shared" si="100"/>
        <v>-0.1980384249442627</v>
      </c>
      <c r="BA152" s="36">
        <f t="shared" si="101"/>
        <v>-0.016229885057471263</v>
      </c>
      <c r="BB152" s="6">
        <f t="shared" si="115"/>
        <v>0.08530680346933181</v>
      </c>
      <c r="BC152" s="6">
        <f t="shared" si="125"/>
        <v>0.0018104669887948344</v>
      </c>
      <c r="BD152" s="4">
        <f t="shared" si="116"/>
        <v>0.8167606635941704</v>
      </c>
      <c r="BE152" s="4">
        <f>SUMPRODUCT(BC$4:BC152,$BD$206:BD$354)</f>
        <v>0.062316029804523256</v>
      </c>
      <c r="BF152" s="23">
        <f t="shared" si="117"/>
        <v>0.062316029804523256</v>
      </c>
      <c r="BG152" s="48"/>
    </row>
    <row r="153" spans="5:59" ht="15">
      <c r="E153" s="1">
        <f t="shared" si="118"/>
        <v>149</v>
      </c>
      <c r="F153" s="1">
        <f t="shared" si="102"/>
        <v>1899</v>
      </c>
      <c r="G153" s="3">
        <f t="shared" si="81"/>
        <v>0.22049999999999997</v>
      </c>
      <c r="H153" s="3">
        <f t="shared" si="82"/>
        <v>0.14389999999999997</v>
      </c>
      <c r="I153" s="5">
        <f t="shared" si="103"/>
        <v>0.07754751469693297</v>
      </c>
      <c r="J153" s="5">
        <f t="shared" si="119"/>
        <v>0.11780223251255954</v>
      </c>
      <c r="K153" s="4">
        <f t="shared" si="104"/>
        <v>0.1690502527905074</v>
      </c>
      <c r="L153" s="4">
        <f t="shared" si="105"/>
        <v>0.0003934742843692323</v>
      </c>
      <c r="M153" s="4">
        <f t="shared" si="85"/>
        <v>0.45760047049004454</v>
      </c>
      <c r="N153" s="4">
        <f t="shared" si="106"/>
        <v>0.00018005401765309429</v>
      </c>
      <c r="O153" s="4">
        <f>SUMPRODUCT($M$4:M153,L$205:$L$354)</f>
        <v>0.29296709678845584</v>
      </c>
      <c r="P153" s="4">
        <f t="shared" si="107"/>
        <v>0.1646333737015887</v>
      </c>
      <c r="Q153" s="4">
        <f t="shared" si="120"/>
        <v>4.332597333164007</v>
      </c>
      <c r="R153" s="4">
        <f t="shared" si="121"/>
        <v>5.718975002832621</v>
      </c>
      <c r="S153" s="4">
        <f t="shared" si="126"/>
        <v>0.039933033583594346</v>
      </c>
      <c r="T153" s="5">
        <f t="shared" si="122"/>
        <v>286.47311460256674</v>
      </c>
      <c r="U153" s="4">
        <f t="shared" si="108"/>
        <v>287.5404028291305</v>
      </c>
      <c r="V153" s="4">
        <f t="shared" si="86"/>
        <v>0.00470420050714643</v>
      </c>
      <c r="W153" s="4">
        <f>SUMPRODUCT($J$4:J153,$S$205:S$354)</f>
        <v>0.6993412187920385</v>
      </c>
      <c r="X153" s="6">
        <f t="shared" si="109"/>
        <v>0.1421697164414482</v>
      </c>
      <c r="Y153" s="4">
        <f t="shared" si="110"/>
        <v>1899</v>
      </c>
      <c r="Z153" s="4">
        <f t="shared" si="123"/>
        <v>149</v>
      </c>
      <c r="AA153" s="21">
        <f t="shared" si="111"/>
        <v>55.13</v>
      </c>
      <c r="AB153" s="6">
        <f t="shared" si="112"/>
        <v>161.4653745</v>
      </c>
      <c r="AC153" s="24">
        <f t="shared" si="87"/>
        <v>157.5820838446872</v>
      </c>
      <c r="AD153" s="4">
        <f t="shared" si="88"/>
        <v>6.6006992143179435</v>
      </c>
      <c r="AE153" s="4">
        <f t="shared" si="89"/>
        <v>3.8832906553128055</v>
      </c>
      <c r="AF153" s="6">
        <f t="shared" si="83"/>
        <v>1040.151937024211</v>
      </c>
      <c r="AG153" s="30">
        <f t="shared" si="127"/>
        <v>0.1802893960377</v>
      </c>
      <c r="AH153" s="27">
        <v>0</v>
      </c>
      <c r="AI153" s="47">
        <f t="shared" si="113"/>
        <v>1.975</v>
      </c>
      <c r="AJ153" s="4">
        <f t="shared" si="90"/>
        <v>2.041797303510261</v>
      </c>
      <c r="AK153" s="4">
        <f t="shared" si="91"/>
        <v>123.69960739219069</v>
      </c>
      <c r="AL153" s="4">
        <f t="shared" si="92"/>
        <v>-0.0667973035102607</v>
      </c>
      <c r="AM153" s="5">
        <f t="shared" si="124"/>
        <v>252.56952481865284</v>
      </c>
      <c r="AN153" s="26">
        <f t="shared" si="114"/>
        <v>-0.07199836970820676</v>
      </c>
      <c r="AO153" s="4">
        <f t="shared" si="93"/>
        <v>1.310892183809188</v>
      </c>
      <c r="AP153" s="21">
        <f t="shared" si="78"/>
        <v>9.8</v>
      </c>
      <c r="AQ153" s="21">
        <f t="shared" si="128"/>
        <v>143.1</v>
      </c>
      <c r="AR153" s="21">
        <f t="shared" si="129"/>
        <v>35.42</v>
      </c>
      <c r="AS153" s="35">
        <f t="shared" si="94"/>
        <v>0.15149910146350018</v>
      </c>
      <c r="AT153" s="36">
        <f t="shared" si="95"/>
        <v>0.2707079617423268</v>
      </c>
      <c r="AU153" s="4">
        <f t="shared" si="96"/>
        <v>27.709036285276145</v>
      </c>
      <c r="AV153" s="4">
        <f t="shared" si="97"/>
        <v>0.1137795239815981</v>
      </c>
      <c r="AW153" s="4">
        <f t="shared" si="98"/>
        <v>0.009014469801885</v>
      </c>
      <c r="AX153" s="21">
        <f t="shared" si="84"/>
        <v>11.514999999999999</v>
      </c>
      <c r="AY153" s="36">
        <f t="shared" si="99"/>
        <v>-0.06793510324483776</v>
      </c>
      <c r="AZ153" s="36">
        <f t="shared" si="100"/>
        <v>-0.20170211179480974</v>
      </c>
      <c r="BA153" s="36">
        <f t="shared" si="101"/>
        <v>-0.016448275862068967</v>
      </c>
      <c r="BB153" s="6">
        <f t="shared" si="115"/>
        <v>0.08716924565270817</v>
      </c>
      <c r="BC153" s="6">
        <f t="shared" si="125"/>
        <v>0.0018624421833763616</v>
      </c>
      <c r="BD153" s="4">
        <f t="shared" si="116"/>
        <v>0.8163436969695985</v>
      </c>
      <c r="BE153" s="4">
        <f>SUMPRODUCT(BC$4:BC153,$BD$205:BD$354)</f>
        <v>0.06322704248476194</v>
      </c>
      <c r="BF153" s="23">
        <f t="shared" si="117"/>
        <v>0.06322704248476194</v>
      </c>
      <c r="BG153" s="48"/>
    </row>
    <row r="154" spans="5:59" ht="15">
      <c r="E154" s="1">
        <f t="shared" si="118"/>
        <v>150</v>
      </c>
      <c r="F154" s="1">
        <f t="shared" si="102"/>
        <v>1900</v>
      </c>
      <c r="G154" s="3">
        <f t="shared" si="81"/>
        <v>0.22499999999999998</v>
      </c>
      <c r="H154" s="3">
        <f t="shared" si="82"/>
        <v>0.14499999999999996</v>
      </c>
      <c r="I154" s="5">
        <f t="shared" si="103"/>
        <v>0.07894428181243511</v>
      </c>
      <c r="J154" s="5">
        <f t="shared" si="119"/>
        <v>0.1199996628776185</v>
      </c>
      <c r="K154" s="4">
        <f t="shared" si="104"/>
        <v>0.17105605530994633</v>
      </c>
      <c r="L154" s="4">
        <f t="shared" si="105"/>
        <v>0.0003974526456925534</v>
      </c>
      <c r="M154" s="4">
        <f t="shared" si="85"/>
        <v>0.4677214480337706</v>
      </c>
      <c r="N154" s="4">
        <f t="shared" si="106"/>
        <v>0.00018589712696817425</v>
      </c>
      <c r="O154" s="4">
        <f>SUMPRODUCT($M$4:M154,L$204:$L$354)</f>
        <v>0.3001227377459708</v>
      </c>
      <c r="P154" s="4">
        <f t="shared" si="107"/>
        <v>0.16759871028779977</v>
      </c>
      <c r="Q154" s="4">
        <f t="shared" si="120"/>
        <v>4.435600658415802</v>
      </c>
      <c r="R154" s="4">
        <f t="shared" si="121"/>
        <v>5.856707982305404</v>
      </c>
      <c r="S154" s="4">
        <f t="shared" si="126"/>
        <v>0.04002745559488379</v>
      </c>
      <c r="T154" s="5">
        <f t="shared" si="122"/>
        <v>286.6222561362498</v>
      </c>
      <c r="U154" s="4">
        <f t="shared" si="108"/>
        <v>287.709453081921</v>
      </c>
      <c r="V154" s="4">
        <f t="shared" si="86"/>
        <v>0.004803281177234899</v>
      </c>
      <c r="W154" s="4">
        <f>SUMPRODUCT($J$4:J154,$S$204:S$354)</f>
        <v>0.7157571659131635</v>
      </c>
      <c r="X154" s="6">
        <f t="shared" si="109"/>
        <v>0.1453141548769264</v>
      </c>
      <c r="Y154" s="4">
        <f t="shared" si="110"/>
        <v>1900</v>
      </c>
      <c r="Z154" s="4">
        <f t="shared" si="123"/>
        <v>150</v>
      </c>
      <c r="AA154" s="21">
        <f t="shared" si="111"/>
        <v>55.5</v>
      </c>
      <c r="AB154" s="6">
        <f t="shared" si="112"/>
        <v>161.8353745</v>
      </c>
      <c r="AC154" s="24">
        <f t="shared" si="87"/>
        <v>157.94561695649696</v>
      </c>
      <c r="AD154" s="4">
        <f t="shared" si="88"/>
        <v>6.610093067458041</v>
      </c>
      <c r="AE154" s="4">
        <f t="shared" si="89"/>
        <v>3.8897575435030376</v>
      </c>
      <c r="AF154" s="6">
        <f t="shared" si="83"/>
        <v>1044.0352276795238</v>
      </c>
      <c r="AG154" s="30">
        <f t="shared" si="127"/>
        <v>0.18245470179479584</v>
      </c>
      <c r="AH154" s="21">
        <f>0.01946666*(Z154-$Z$154)</f>
        <v>0</v>
      </c>
      <c r="AI154" s="47">
        <f t="shared" si="113"/>
        <v>1.975</v>
      </c>
      <c r="AJ154" s="4">
        <f t="shared" si="90"/>
        <v>2.0412573074268576</v>
      </c>
      <c r="AK154" s="4">
        <f t="shared" si="91"/>
        <v>123.69960739219069</v>
      </c>
      <c r="AL154" s="4">
        <f t="shared" si="92"/>
        <v>-0.06625730742685754</v>
      </c>
      <c r="AM154" s="5">
        <f t="shared" si="124"/>
        <v>252.50272751514257</v>
      </c>
      <c r="AN154" s="26">
        <f t="shared" si="114"/>
        <v>-0.07225057164959629</v>
      </c>
      <c r="AO154" s="4">
        <f t="shared" si="93"/>
        <v>1.3088295992690449</v>
      </c>
      <c r="AP154" s="21">
        <f t="shared" si="78"/>
        <v>10</v>
      </c>
      <c r="AQ154" s="21">
        <f t="shared" si="128"/>
        <v>145</v>
      </c>
      <c r="AR154" s="21">
        <f t="shared" si="129"/>
        <v>36</v>
      </c>
      <c r="AS154" s="35">
        <f t="shared" si="94"/>
        <v>0.15128380036327646</v>
      </c>
      <c r="AT154" s="36">
        <f t="shared" si="95"/>
        <v>0.26913330218904397</v>
      </c>
      <c r="AU154" s="4">
        <f t="shared" si="96"/>
        <v>27.75667246579619</v>
      </c>
      <c r="AV154" s="4">
        <f t="shared" si="97"/>
        <v>0.11578024356343995</v>
      </c>
      <c r="AW154" s="4">
        <f t="shared" si="98"/>
        <v>0.009122735089739792</v>
      </c>
      <c r="AX154" s="21">
        <f t="shared" si="84"/>
        <v>11.75</v>
      </c>
      <c r="AY154" s="36">
        <f t="shared" si="99"/>
        <v>-0.06932153392330384</v>
      </c>
      <c r="AZ154" s="36">
        <f t="shared" si="100"/>
        <v>-0.2053497455213945</v>
      </c>
      <c r="BA154" s="36">
        <f t="shared" si="101"/>
        <v>-0.016666666666666666</v>
      </c>
      <c r="BB154" s="6">
        <f t="shared" si="115"/>
        <v>0.08908331756394072</v>
      </c>
      <c r="BC154" s="6">
        <f t="shared" si="125"/>
        <v>0.001914071911232551</v>
      </c>
      <c r="BD154" s="4">
        <f t="shared" si="116"/>
        <v>0.8159257787403864</v>
      </c>
      <c r="BE154" s="4">
        <f>SUMPRODUCT(BC$4:BC154,$BD$204:BD$354)</f>
        <v>0.06417136552058048</v>
      </c>
      <c r="BF154" s="23">
        <f t="shared" si="117"/>
        <v>0.06417136552058048</v>
      </c>
      <c r="BG154" s="48"/>
    </row>
    <row r="155" spans="5:59" ht="15">
      <c r="E155" s="1">
        <f t="shared" si="118"/>
        <v>151</v>
      </c>
      <c r="F155" s="1">
        <f t="shared" si="102"/>
        <v>1901</v>
      </c>
      <c r="G155" s="3">
        <f>G154+0.007</f>
        <v>0.23199999999999998</v>
      </c>
      <c r="H155" s="3">
        <f>H154+0.0014</f>
        <v>0.14639999999999997</v>
      </c>
      <c r="I155" s="5">
        <f t="shared" si="103"/>
        <v>0.08034624504889926</v>
      </c>
      <c r="J155" s="5">
        <f t="shared" si="119"/>
        <v>0.12219823166395914</v>
      </c>
      <c r="K155" s="4">
        <f t="shared" si="104"/>
        <v>0.17585552328714155</v>
      </c>
      <c r="L155" s="4">
        <f t="shared" si="105"/>
        <v>0.0004014722145155378</v>
      </c>
      <c r="M155" s="4">
        <f t="shared" si="85"/>
        <v>0.4779564609856849</v>
      </c>
      <c r="N155" s="4">
        <f t="shared" si="106"/>
        <v>0.00019188623883393218</v>
      </c>
      <c r="O155" s="4">
        <f>SUMPRODUCT($M$4:M155,L$203:$L$354)</f>
        <v>0.30738138274687177</v>
      </c>
      <c r="P155" s="4">
        <f t="shared" si="107"/>
        <v>0.17057507823881313</v>
      </c>
      <c r="Q155" s="4">
        <f t="shared" si="120"/>
        <v>4.539719483250341</v>
      </c>
      <c r="R155" s="4">
        <f t="shared" si="121"/>
        <v>5.996017027621351</v>
      </c>
      <c r="S155" s="4">
        <f t="shared" si="126"/>
        <v>0.0401225978450482</v>
      </c>
      <c r="T155" s="5">
        <f t="shared" si="122"/>
        <v>286.7733931583555</v>
      </c>
      <c r="U155" s="4">
        <f t="shared" si="108"/>
        <v>287.88050913723094</v>
      </c>
      <c r="V155" s="4">
        <f t="shared" si="86"/>
        <v>0.004902910506429068</v>
      </c>
      <c r="W155" s="4">
        <f>SUMPRODUCT($J$4:J155,$S$203:S$354)</f>
        <v>0.7323473313845189</v>
      </c>
      <c r="X155" s="6">
        <f t="shared" si="109"/>
        <v>0.14849402243167328</v>
      </c>
      <c r="Y155" s="4">
        <f t="shared" si="110"/>
        <v>1901</v>
      </c>
      <c r="Z155" s="4">
        <f t="shared" si="123"/>
        <v>151</v>
      </c>
      <c r="AA155" s="21">
        <f t="shared" si="111"/>
        <v>55.87</v>
      </c>
      <c r="AB155" s="6">
        <f t="shared" si="112"/>
        <v>162.2053745</v>
      </c>
      <c r="AC155" s="24">
        <f t="shared" si="87"/>
        <v>158.24056531870667</v>
      </c>
      <c r="AD155" s="4">
        <f t="shared" si="88"/>
        <v>6.622353649409926</v>
      </c>
      <c r="AE155" s="4">
        <f t="shared" si="89"/>
        <v>3.964809181293333</v>
      </c>
      <c r="AF155" s="6">
        <f t="shared" si="83"/>
        <v>1047.9249852230269</v>
      </c>
      <c r="AG155" s="30">
        <f t="shared" si="127"/>
        <v>0.18461958021888492</v>
      </c>
      <c r="AH155" s="21">
        <f aca="true" t="shared" si="130" ref="AH155:AH218">0.01946666*(Z155-$Z$154)</f>
        <v>0.01946666</v>
      </c>
      <c r="AI155" s="47">
        <f t="shared" si="113"/>
        <v>1.99446666</v>
      </c>
      <c r="AJ155" s="4">
        <f t="shared" si="90"/>
        <v>2.0418228518093477</v>
      </c>
      <c r="AK155" s="4">
        <f t="shared" si="91"/>
        <v>123.63289498108065</v>
      </c>
      <c r="AL155" s="4">
        <f t="shared" si="92"/>
        <v>-0.04735619180934769</v>
      </c>
      <c r="AM155" s="5">
        <f t="shared" si="124"/>
        <v>252.4364702077157</v>
      </c>
      <c r="AN155" s="26">
        <f t="shared" si="114"/>
        <v>-0.07250076772285055</v>
      </c>
      <c r="AO155" s="4">
        <f t="shared" si="93"/>
        <v>1.3061463769975399</v>
      </c>
      <c r="AP155" s="21">
        <f t="shared" si="78"/>
        <v>10.200000000000001</v>
      </c>
      <c r="AQ155" s="21">
        <f aca="true" t="shared" si="131" ref="AQ155:AQ186">7.25*(Z155-$Z$154)+$AQ$154</f>
        <v>152.25</v>
      </c>
      <c r="AR155" s="21">
        <f t="shared" si="129"/>
        <v>36.58</v>
      </c>
      <c r="AS155" s="35">
        <f t="shared" si="94"/>
        <v>0.1510037145311778</v>
      </c>
      <c r="AT155" s="36">
        <f t="shared" si="95"/>
        <v>0.26708110496997955</v>
      </c>
      <c r="AU155" s="4">
        <f t="shared" si="96"/>
        <v>27.81015532815657</v>
      </c>
      <c r="AV155" s="4">
        <f t="shared" si="97"/>
        <v>0.11802652378257589</v>
      </c>
      <c r="AW155" s="4">
        <f t="shared" si="98"/>
        <v>0.009230979010944246</v>
      </c>
      <c r="AX155" s="21">
        <f t="shared" si="84"/>
        <v>11.985</v>
      </c>
      <c r="AY155" s="36">
        <f t="shared" si="99"/>
        <v>-0.07070796460176991</v>
      </c>
      <c r="AZ155" s="36">
        <f t="shared" si="100"/>
        <v>-0.20898146618999972</v>
      </c>
      <c r="BA155" s="36">
        <f t="shared" si="101"/>
        <v>-0.017499999999999998</v>
      </c>
      <c r="BB155" s="6">
        <f t="shared" si="115"/>
        <v>0.09068090692945818</v>
      </c>
      <c r="BC155" s="6">
        <f t="shared" si="125"/>
        <v>0.00159758936551746</v>
      </c>
      <c r="BD155" s="4">
        <f t="shared" si="116"/>
        <v>0.8155069065345502</v>
      </c>
      <c r="BE155" s="4">
        <f>SUMPRODUCT(BC$4:BC155,$BD$203:BD$354)</f>
        <v>0.06514932671202293</v>
      </c>
      <c r="BF155" s="23">
        <f t="shared" si="117"/>
        <v>0.06514932671202293</v>
      </c>
      <c r="BG155" s="48"/>
    </row>
    <row r="156" spans="5:59" ht="15">
      <c r="E156" s="1">
        <f t="shared" si="118"/>
        <v>152</v>
      </c>
      <c r="F156" s="1">
        <f t="shared" si="102"/>
        <v>1902</v>
      </c>
      <c r="G156" s="3">
        <f aca="true" t="shared" si="132" ref="G156:G204">G155+0.007</f>
        <v>0.239</v>
      </c>
      <c r="H156" s="3">
        <f aca="true" t="shared" si="133" ref="H156:H204">H155+0.0014</f>
        <v>0.1478</v>
      </c>
      <c r="I156" s="5">
        <f t="shared" si="103"/>
        <v>0.08183208451549563</v>
      </c>
      <c r="J156" s="5">
        <f t="shared" si="119"/>
        <v>0.12470700882946859</v>
      </c>
      <c r="K156" s="4">
        <f t="shared" si="104"/>
        <v>0.18026090665503577</v>
      </c>
      <c r="L156" s="4">
        <f t="shared" si="105"/>
        <v>0.00040553346775183257</v>
      </c>
      <c r="M156" s="4">
        <f t="shared" si="85"/>
        <v>0.48847230861719876</v>
      </c>
      <c r="N156" s="4">
        <f t="shared" si="106"/>
        <v>0.00019809186921427598</v>
      </c>
      <c r="O156" s="4">
        <f>SUMPRODUCT($M$4:M156,L$202:$L$354)</f>
        <v>0.3147427931908015</v>
      </c>
      <c r="P156" s="4">
        <f t="shared" si="107"/>
        <v>0.17372951542639725</v>
      </c>
      <c r="Q156" s="4">
        <f t="shared" si="120"/>
        <v>4.644943295190209</v>
      </c>
      <c r="R156" s="4">
        <f t="shared" si="121"/>
        <v>6.136890854121069</v>
      </c>
      <c r="S156" s="4">
        <f t="shared" si="126"/>
        <v>0.04021846823337335</v>
      </c>
      <c r="T156" s="5">
        <f t="shared" si="122"/>
        <v>286.9265191605231</v>
      </c>
      <c r="U156" s="4">
        <f t="shared" si="108"/>
        <v>288.0563646605181</v>
      </c>
      <c r="V156" s="4">
        <f t="shared" si="86"/>
        <v>0.005015524873086992</v>
      </c>
      <c r="W156" s="4">
        <f>SUMPRODUCT($J$4:J156,$S$202:S$354)</f>
        <v>0.7494190077686892</v>
      </c>
      <c r="X156" s="6">
        <f t="shared" si="109"/>
        <v>0.1517611411789787</v>
      </c>
      <c r="Y156" s="4">
        <f t="shared" si="110"/>
        <v>1902</v>
      </c>
      <c r="Z156" s="4">
        <f t="shared" si="123"/>
        <v>152</v>
      </c>
      <c r="AA156" s="21">
        <f t="shared" si="111"/>
        <v>56.24</v>
      </c>
      <c r="AB156" s="6">
        <f t="shared" si="112"/>
        <v>162.5753745</v>
      </c>
      <c r="AC156" s="24">
        <f t="shared" si="87"/>
        <v>158.54261400582507</v>
      </c>
      <c r="AD156" s="4">
        <f t="shared" si="88"/>
        <v>6.6347448665484485</v>
      </c>
      <c r="AE156" s="4">
        <f t="shared" si="89"/>
        <v>4.032760494174937</v>
      </c>
      <c r="AF156" s="6">
        <f t="shared" si="83"/>
        <v>1051.8897944043201</v>
      </c>
      <c r="AG156" s="30">
        <f t="shared" si="127"/>
        <v>0.18682209835286143</v>
      </c>
      <c r="AH156" s="21">
        <f t="shared" si="130"/>
        <v>0.03893332</v>
      </c>
      <c r="AI156" s="47">
        <f t="shared" si="113"/>
        <v>2.01393332</v>
      </c>
      <c r="AJ156" s="4">
        <f t="shared" si="90"/>
        <v>2.0425306732008077</v>
      </c>
      <c r="AK156" s="4">
        <f t="shared" si="91"/>
        <v>123.566866009602</v>
      </c>
      <c r="AL156" s="4">
        <f t="shared" si="92"/>
        <v>-0.028597353200807696</v>
      </c>
      <c r="AM156" s="5">
        <f t="shared" si="124"/>
        <v>252.38911401590636</v>
      </c>
      <c r="AN156" s="26">
        <f t="shared" si="114"/>
        <v>-0.07267961088552531</v>
      </c>
      <c r="AO156" s="4">
        <f t="shared" si="93"/>
        <v>1.303444641182095</v>
      </c>
      <c r="AP156" s="21">
        <f t="shared" si="78"/>
        <v>10.4</v>
      </c>
      <c r="AQ156" s="21">
        <f t="shared" si="131"/>
        <v>159.5</v>
      </c>
      <c r="AR156" s="21">
        <f t="shared" si="129"/>
        <v>37.16</v>
      </c>
      <c r="AS156" s="35">
        <f t="shared" si="94"/>
        <v>0.15072169617883494</v>
      </c>
      <c r="AT156" s="36">
        <f t="shared" si="95"/>
        <v>0.265010484124089</v>
      </c>
      <c r="AU156" s="4">
        <f t="shared" si="96"/>
        <v>27.863926059686115</v>
      </c>
      <c r="AV156" s="4">
        <f t="shared" si="97"/>
        <v>0.12028489450681683</v>
      </c>
      <c r="AW156" s="4">
        <f t="shared" si="98"/>
        <v>0.009341104917643072</v>
      </c>
      <c r="AX156" s="21">
        <f t="shared" si="84"/>
        <v>12.219999999999999</v>
      </c>
      <c r="AY156" s="36">
        <f t="shared" si="99"/>
        <v>-0.07209439528023599</v>
      </c>
      <c r="AZ156" s="36">
        <f t="shared" si="100"/>
        <v>-0.21259741204142146</v>
      </c>
      <c r="BA156" s="36">
        <f t="shared" si="101"/>
        <v>-0.018333333333333333</v>
      </c>
      <c r="BB156" s="6">
        <f t="shared" si="115"/>
        <v>0.0925044874157839</v>
      </c>
      <c r="BC156" s="6">
        <f t="shared" si="125"/>
        <v>0.001823580486325721</v>
      </c>
      <c r="BD156" s="4">
        <f t="shared" si="116"/>
        <v>0.8150870779598386</v>
      </c>
      <c r="BE156" s="4">
        <f>SUMPRODUCT(BC$4:BC156,$BD$202:BD$354)</f>
        <v>0.06614345745873226</v>
      </c>
      <c r="BF156" s="23">
        <f t="shared" si="117"/>
        <v>0.06614345745873226</v>
      </c>
      <c r="BG156" s="48"/>
    </row>
    <row r="157" spans="5:59" ht="15">
      <c r="E157" s="1">
        <f t="shared" si="118"/>
        <v>153</v>
      </c>
      <c r="F157" s="1">
        <f t="shared" si="102"/>
        <v>1903</v>
      </c>
      <c r="G157" s="3">
        <f t="shared" si="132"/>
        <v>0.246</v>
      </c>
      <c r="H157" s="3">
        <f t="shared" si="133"/>
        <v>0.1492</v>
      </c>
      <c r="I157" s="5">
        <f t="shared" si="103"/>
        <v>0.08338615429243486</v>
      </c>
      <c r="J157" s="5">
        <f t="shared" si="119"/>
        <v>0.12721642257616284</v>
      </c>
      <c r="K157" s="4">
        <f t="shared" si="104"/>
        <v>0.18459742313140232</v>
      </c>
      <c r="L157" s="4">
        <f t="shared" si="105"/>
        <v>0.00040963689032650393</v>
      </c>
      <c r="M157" s="4">
        <f t="shared" si="85"/>
        <v>0.4992449293725131</v>
      </c>
      <c r="N157" s="4">
        <f t="shared" si="106"/>
        <v>0.00020450914037943135</v>
      </c>
      <c r="O157" s="4">
        <f>SUMPRODUCT($M$4:M157,L$201:$L$354)</f>
        <v>0.32221612380967385</v>
      </c>
      <c r="P157" s="4">
        <f t="shared" si="107"/>
        <v>0.17702880556283923</v>
      </c>
      <c r="Q157" s="4">
        <f t="shared" si="120"/>
        <v>4.753221110046714</v>
      </c>
      <c r="R157" s="4">
        <f t="shared" si="121"/>
        <v>6.281944053837788</v>
      </c>
      <c r="S157" s="4">
        <f t="shared" si="126"/>
        <v>0.040315074774867246</v>
      </c>
      <c r="T157" s="5">
        <f t="shared" si="122"/>
        <v>287.0840447786331</v>
      </c>
      <c r="U157" s="4">
        <f t="shared" si="108"/>
        <v>288.2366255671731</v>
      </c>
      <c r="V157" s="4">
        <f t="shared" si="86"/>
        <v>0.005128739588749115</v>
      </c>
      <c r="W157" s="4">
        <f>SUMPRODUCT($J$4:J157,$S$201:S$354)</f>
        <v>0.7667896269908199</v>
      </c>
      <c r="X157" s="6">
        <f t="shared" si="109"/>
        <v>0.15510803554837077</v>
      </c>
      <c r="Y157" s="4">
        <f t="shared" si="110"/>
        <v>1903</v>
      </c>
      <c r="Z157" s="4">
        <f t="shared" si="123"/>
        <v>153</v>
      </c>
      <c r="AA157" s="21">
        <f t="shared" si="111"/>
        <v>56.61</v>
      </c>
      <c r="AB157" s="6">
        <f t="shared" si="112"/>
        <v>162.9453745</v>
      </c>
      <c r="AC157" s="24">
        <f t="shared" si="87"/>
        <v>158.85096426434103</v>
      </c>
      <c r="AD157" s="4">
        <f t="shared" si="88"/>
        <v>6.6472530386491915</v>
      </c>
      <c r="AE157" s="4">
        <f t="shared" si="89"/>
        <v>4.094410235658984</v>
      </c>
      <c r="AF157" s="6">
        <f t="shared" si="83"/>
        <v>1055.922554898495</v>
      </c>
      <c r="AG157" s="30">
        <f t="shared" si="127"/>
        <v>0.1890581105041824</v>
      </c>
      <c r="AH157" s="21">
        <f t="shared" si="130"/>
        <v>0.058399980000000004</v>
      </c>
      <c r="AI157" s="47">
        <f t="shared" si="113"/>
        <v>2.03339998</v>
      </c>
      <c r="AJ157" s="4">
        <f t="shared" si="90"/>
        <v>2.0433800595039933</v>
      </c>
      <c r="AK157" s="4">
        <f t="shared" si="91"/>
        <v>123.50150697074098</v>
      </c>
      <c r="AL157" s="4">
        <f t="shared" si="92"/>
        <v>-0.009980079503993267</v>
      </c>
      <c r="AM157" s="5">
        <f t="shared" si="124"/>
        <v>252.36051666270555</v>
      </c>
      <c r="AN157" s="26">
        <f t="shared" si="114"/>
        <v>-0.07278761842755244</v>
      </c>
      <c r="AO157" s="4">
        <f t="shared" si="93"/>
        <v>1.3007276206592044</v>
      </c>
      <c r="AP157" s="21">
        <f t="shared" si="78"/>
        <v>10.600000000000001</v>
      </c>
      <c r="AQ157" s="21">
        <f t="shared" si="131"/>
        <v>166.75</v>
      </c>
      <c r="AR157" s="21">
        <f t="shared" si="129"/>
        <v>37.74</v>
      </c>
      <c r="AS157" s="35">
        <f t="shared" si="94"/>
        <v>0.1504380823455478</v>
      </c>
      <c r="AT157" s="36">
        <f t="shared" si="95"/>
        <v>0.2629238160886676</v>
      </c>
      <c r="AU157" s="4">
        <f t="shared" si="96"/>
        <v>27.917947528552066</v>
      </c>
      <c r="AV157" s="4">
        <f t="shared" si="97"/>
        <v>0.12255379619918678</v>
      </c>
      <c r="AW157" s="4">
        <f t="shared" si="98"/>
        <v>0.00945290552520912</v>
      </c>
      <c r="AX157" s="21">
        <f t="shared" si="84"/>
        <v>12.455</v>
      </c>
      <c r="AY157" s="36">
        <f t="shared" si="99"/>
        <v>-0.07348082595870208</v>
      </c>
      <c r="AZ157" s="36">
        <f t="shared" si="100"/>
        <v>-0.21619771952284464</v>
      </c>
      <c r="BA157" s="36">
        <f t="shared" si="101"/>
        <v>-0.01916666666666667</v>
      </c>
      <c r="BB157" s="6">
        <f t="shared" si="115"/>
        <v>0.09454001720118324</v>
      </c>
      <c r="BC157" s="6">
        <f t="shared" si="125"/>
        <v>0.002035529785399337</v>
      </c>
      <c r="BD157" s="4">
        <f t="shared" si="116"/>
        <v>0.8146662906026173</v>
      </c>
      <c r="BE157" s="4">
        <f>SUMPRODUCT(BC$4:BC157,$BD$201:BD$354)</f>
        <v>0.06716364394231805</v>
      </c>
      <c r="BF157" s="23">
        <f t="shared" si="117"/>
        <v>0.06716364394231805</v>
      </c>
      <c r="BG157" s="48"/>
    </row>
    <row r="158" spans="5:59" ht="15">
      <c r="E158" s="1">
        <f t="shared" si="118"/>
        <v>154</v>
      </c>
      <c r="F158" s="1">
        <f t="shared" si="102"/>
        <v>1904</v>
      </c>
      <c r="G158" s="3">
        <f t="shared" si="132"/>
        <v>0.253</v>
      </c>
      <c r="H158" s="3">
        <f t="shared" si="133"/>
        <v>0.1506</v>
      </c>
      <c r="I158" s="5">
        <f t="shared" si="103"/>
        <v>0.08500100006380919</v>
      </c>
      <c r="J158" s="5">
        <f t="shared" si="119"/>
        <v>0.1298765198456863</v>
      </c>
      <c r="K158" s="4">
        <f t="shared" si="104"/>
        <v>0.18872248009050455</v>
      </c>
      <c r="L158" s="4">
        <f t="shared" si="105"/>
        <v>0.00041378297542156347</v>
      </c>
      <c r="M158" s="4">
        <f t="shared" si="85"/>
        <v>0.5102697259407194</v>
      </c>
      <c r="N158" s="4">
        <f t="shared" si="106"/>
        <v>0.00021114092546729662</v>
      </c>
      <c r="O158" s="4">
        <f>SUMPRODUCT($M$4:M158,L$200:$L$354)</f>
        <v>0.3298126028052525</v>
      </c>
      <c r="P158" s="4">
        <f t="shared" si="107"/>
        <v>0.1804571231354669</v>
      </c>
      <c r="Q158" s="4">
        <f t="shared" si="120"/>
        <v>4.863394982240117</v>
      </c>
      <c r="R158" s="4">
        <f t="shared" si="121"/>
        <v>6.429631754985649</v>
      </c>
      <c r="S158" s="4">
        <f t="shared" si="126"/>
        <v>0.04041242560258642</v>
      </c>
      <c r="T158" s="5">
        <f t="shared" si="122"/>
        <v>287.2445417205026</v>
      </c>
      <c r="U158" s="4">
        <f t="shared" si="108"/>
        <v>288.4212229903045</v>
      </c>
      <c r="V158" s="4">
        <f t="shared" si="86"/>
        <v>0.005248625195786636</v>
      </c>
      <c r="W158" s="4">
        <f>SUMPRODUCT($J$4:J158,$S$200:S$354)</f>
        <v>0.7845781493098454</v>
      </c>
      <c r="X158" s="6">
        <f t="shared" si="109"/>
        <v>0.15853327722316196</v>
      </c>
      <c r="Y158" s="4">
        <f t="shared" si="110"/>
        <v>1904</v>
      </c>
      <c r="Z158" s="4">
        <f t="shared" si="123"/>
        <v>154</v>
      </c>
      <c r="AA158" s="21">
        <f t="shared" si="111"/>
        <v>56.98</v>
      </c>
      <c r="AB158" s="6">
        <f t="shared" si="112"/>
        <v>163.3153745</v>
      </c>
      <c r="AC158" s="24">
        <f t="shared" si="87"/>
        <v>159.1649080217692</v>
      </c>
      <c r="AD158" s="4">
        <f t="shared" si="88"/>
        <v>6.659866036483205</v>
      </c>
      <c r="AE158" s="4">
        <f t="shared" si="89"/>
        <v>4.150466478230783</v>
      </c>
      <c r="AF158" s="6">
        <f t="shared" si="83"/>
        <v>1060.016965134154</v>
      </c>
      <c r="AG158" s="30">
        <f t="shared" si="127"/>
        <v>0.19132394109251394</v>
      </c>
      <c r="AH158" s="21">
        <f t="shared" si="130"/>
        <v>0.07786664</v>
      </c>
      <c r="AI158" s="47">
        <f t="shared" si="113"/>
        <v>2.05286664</v>
      </c>
      <c r="AJ158" s="4">
        <f t="shared" si="90"/>
        <v>2.0443702920953966</v>
      </c>
      <c r="AK158" s="4">
        <f t="shared" si="91"/>
        <v>123.43680475054865</v>
      </c>
      <c r="AL158" s="4">
        <f t="shared" si="92"/>
        <v>0.008496347904603407</v>
      </c>
      <c r="AM158" s="5">
        <f t="shared" si="124"/>
        <v>252.35053658320155</v>
      </c>
      <c r="AN158" s="26">
        <f t="shared" si="114"/>
        <v>-0.0728253130017012</v>
      </c>
      <c r="AO158" s="4">
        <f t="shared" si="93"/>
        <v>1.2979981644837575</v>
      </c>
      <c r="AP158" s="21">
        <f t="shared" si="78"/>
        <v>10.8</v>
      </c>
      <c r="AQ158" s="21">
        <f t="shared" si="131"/>
        <v>174</v>
      </c>
      <c r="AR158" s="21">
        <f t="shared" si="129"/>
        <v>38.32</v>
      </c>
      <c r="AS158" s="35">
        <f t="shared" si="94"/>
        <v>0.1501531704274427</v>
      </c>
      <c r="AT158" s="36">
        <f t="shared" si="95"/>
        <v>0.2608232041697716</v>
      </c>
      <c r="AU158" s="4">
        <f t="shared" si="96"/>
        <v>27.97218687059732</v>
      </c>
      <c r="AV158" s="4">
        <f t="shared" si="97"/>
        <v>0.12483184856508742</v>
      </c>
      <c r="AW158" s="4">
        <f t="shared" si="98"/>
        <v>0.009566197054625697</v>
      </c>
      <c r="AX158" s="21">
        <f t="shared" si="84"/>
        <v>12.69</v>
      </c>
      <c r="AY158" s="36">
        <f t="shared" si="99"/>
        <v>-0.07486725663716814</v>
      </c>
      <c r="AZ158" s="36">
        <f t="shared" si="100"/>
        <v>-0.2197825233187367</v>
      </c>
      <c r="BA158" s="36">
        <f t="shared" si="101"/>
        <v>-0.020000000000000004</v>
      </c>
      <c r="BB158" s="6">
        <f t="shared" si="115"/>
        <v>0.09678017097778296</v>
      </c>
      <c r="BC158" s="6">
        <f t="shared" si="125"/>
        <v>0.0022401537765997237</v>
      </c>
      <c r="BD158" s="4">
        <f t="shared" si="116"/>
        <v>0.8142445420266741</v>
      </c>
      <c r="BE158" s="4">
        <f>SUMPRODUCT(BC$4:BC158,$BD$200:BD$354)</f>
        <v>0.0682184405210073</v>
      </c>
      <c r="BF158" s="23">
        <f t="shared" si="117"/>
        <v>0.0682184405210073</v>
      </c>
      <c r="BG158" s="48"/>
    </row>
    <row r="159" spans="5:59" ht="15">
      <c r="E159" s="1">
        <f t="shared" si="118"/>
        <v>155</v>
      </c>
      <c r="F159" s="1">
        <f t="shared" si="102"/>
        <v>1905</v>
      </c>
      <c r="G159" s="3">
        <f t="shared" si="132"/>
        <v>0.26</v>
      </c>
      <c r="H159" s="3">
        <f t="shared" si="133"/>
        <v>0.15200000000000002</v>
      </c>
      <c r="I159" s="5">
        <f t="shared" si="103"/>
        <v>0.08666533068999561</v>
      </c>
      <c r="J159" s="5">
        <f t="shared" si="119"/>
        <v>0.13253976412301535</v>
      </c>
      <c r="K159" s="4">
        <f t="shared" si="104"/>
        <v>0.19279490518698908</v>
      </c>
      <c r="L159" s="4">
        <f t="shared" si="105"/>
        <v>0.00041797222473241965</v>
      </c>
      <c r="M159" s="4">
        <f t="shared" si="85"/>
        <v>0.5215335931307764</v>
      </c>
      <c r="N159" s="4">
        <f t="shared" si="106"/>
        <v>0.0002179865561935632</v>
      </c>
      <c r="O159" s="4">
        <f>SUMPRODUCT($M$4:M159,L$199:$L$354)</f>
        <v>0.3375430960759157</v>
      </c>
      <c r="P159" s="4">
        <f t="shared" si="107"/>
        <v>0.1839904970548607</v>
      </c>
      <c r="Q159" s="4">
        <f t="shared" si="120"/>
        <v>4.976219422142003</v>
      </c>
      <c r="R159" s="4">
        <f t="shared" si="121"/>
        <v>6.58097136677513</v>
      </c>
      <c r="S159" s="4">
        <f t="shared" si="126"/>
        <v>0.04051052897003382</v>
      </c>
      <c r="T159" s="5">
        <f t="shared" si="122"/>
        <v>287.4091352074405</v>
      </c>
      <c r="U159" s="4">
        <f t="shared" si="108"/>
        <v>288.609945470395</v>
      </c>
      <c r="V159" s="4">
        <f t="shared" si="86"/>
        <v>0.005369255954186863</v>
      </c>
      <c r="W159" s="4">
        <f>SUMPRODUCT($J$4:J159,$S$199:S$354)</f>
        <v>0.802682772700863</v>
      </c>
      <c r="X159" s="6">
        <f t="shared" si="109"/>
        <v>0.16203279461380105</v>
      </c>
      <c r="Y159" s="4">
        <f t="shared" si="110"/>
        <v>1905</v>
      </c>
      <c r="Z159" s="4">
        <f t="shared" si="123"/>
        <v>155</v>
      </c>
      <c r="AA159" s="21">
        <f t="shared" si="111"/>
        <v>57.35</v>
      </c>
      <c r="AB159" s="6">
        <f t="shared" si="112"/>
        <v>163.6853745</v>
      </c>
      <c r="AC159" s="24">
        <f t="shared" si="87"/>
        <v>159.48381751888152</v>
      </c>
      <c r="AD159" s="4">
        <f t="shared" si="88"/>
        <v>6.6725731059603985</v>
      </c>
      <c r="AE159" s="4">
        <f t="shared" si="89"/>
        <v>4.201556981118472</v>
      </c>
      <c r="AF159" s="6">
        <f t="shared" si="83"/>
        <v>1064.1674316123847</v>
      </c>
      <c r="AG159" s="30">
        <f t="shared" si="127"/>
        <v>0.19361633113624588</v>
      </c>
      <c r="AH159" s="21">
        <f t="shared" si="130"/>
        <v>0.0973333</v>
      </c>
      <c r="AI159" s="47">
        <f t="shared" si="113"/>
        <v>2.0723333</v>
      </c>
      <c r="AJ159" s="4">
        <f t="shared" si="90"/>
        <v>2.045500646285415</v>
      </c>
      <c r="AK159" s="4">
        <f t="shared" si="91"/>
        <v>123.37274661310164</v>
      </c>
      <c r="AL159" s="4">
        <f t="shared" si="92"/>
        <v>0.026832653714584875</v>
      </c>
      <c r="AM159" s="5">
        <f t="shared" si="124"/>
        <v>252.35903293110616</v>
      </c>
      <c r="AN159" s="26">
        <f t="shared" si="114"/>
        <v>-0.07279322240696139</v>
      </c>
      <c r="AO159" s="4">
        <f t="shared" si="93"/>
        <v>1.2952587857530573</v>
      </c>
      <c r="AP159" s="21">
        <f t="shared" si="78"/>
        <v>11</v>
      </c>
      <c r="AQ159" s="21">
        <f t="shared" si="131"/>
        <v>181.25</v>
      </c>
      <c r="AR159" s="21">
        <f t="shared" si="129"/>
        <v>38.9</v>
      </c>
      <c r="AS159" s="35">
        <f t="shared" si="94"/>
        <v>0.14986722275200426</v>
      </c>
      <c r="AT159" s="36">
        <f t="shared" si="95"/>
        <v>0.25871050974558074</v>
      </c>
      <c r="AU159" s="4">
        <f t="shared" si="96"/>
        <v>28.0266150017878</v>
      </c>
      <c r="AV159" s="4">
        <f t="shared" si="97"/>
        <v>0.1271178300750876</v>
      </c>
      <c r="AW159" s="4">
        <f t="shared" si="98"/>
        <v>0.009680816556812294</v>
      </c>
      <c r="AX159" s="21">
        <f t="shared" si="84"/>
        <v>12.924999999999999</v>
      </c>
      <c r="AY159" s="36">
        <f t="shared" si="99"/>
        <v>-0.07625368731563421</v>
      </c>
      <c r="AZ159" s="36">
        <f t="shared" si="100"/>
        <v>-0.2233519563810816</v>
      </c>
      <c r="BA159" s="36">
        <f t="shared" si="101"/>
        <v>-0.020833333333333336</v>
      </c>
      <c r="BB159" s="6">
        <f t="shared" si="115"/>
        <v>0.09921557294493627</v>
      </c>
      <c r="BC159" s="6">
        <f t="shared" si="125"/>
        <v>0.0024354019671533056</v>
      </c>
      <c r="BD159" s="4">
        <f t="shared" si="116"/>
        <v>0.8138218297719386</v>
      </c>
      <c r="BE159" s="4">
        <f>SUMPRODUCT(BC$4:BC159,$BD$199:BD$354)</f>
        <v>0.06931548280443883</v>
      </c>
      <c r="BF159" s="23">
        <f t="shared" si="117"/>
        <v>0.06931548280443883</v>
      </c>
      <c r="BG159" s="48"/>
    </row>
    <row r="160" spans="5:59" ht="15">
      <c r="E160" s="1">
        <f t="shared" si="118"/>
        <v>156</v>
      </c>
      <c r="F160" s="1">
        <f t="shared" si="102"/>
        <v>1906</v>
      </c>
      <c r="G160" s="3">
        <f t="shared" si="132"/>
        <v>0.267</v>
      </c>
      <c r="H160" s="3">
        <f t="shared" si="133"/>
        <v>0.15340000000000004</v>
      </c>
      <c r="I160" s="5">
        <f t="shared" si="103"/>
        <v>0.08837322138704967</v>
      </c>
      <c r="J160" s="5">
        <f t="shared" si="119"/>
        <v>0.1352851439160581</v>
      </c>
      <c r="K160" s="4">
        <f t="shared" si="104"/>
        <v>0.1967416346968923</v>
      </c>
      <c r="L160" s="4">
        <f t="shared" si="105"/>
        <v>0.0004222051487358022</v>
      </c>
      <c r="M160" s="4">
        <f t="shared" si="85"/>
        <v>0.5330329192525454</v>
      </c>
      <c r="N160" s="4">
        <f t="shared" si="106"/>
        <v>0.00022504924295409977</v>
      </c>
      <c r="O160" s="4">
        <f>SUMPRODUCT($M$4:M160,L$198:$L$354)</f>
        <v>0.3454165702478389</v>
      </c>
      <c r="P160" s="4">
        <f t="shared" si="107"/>
        <v>0.18761634900470647</v>
      </c>
      <c r="Q160" s="4">
        <f t="shared" si="120"/>
        <v>5.091048746191109</v>
      </c>
      <c r="R160" s="4">
        <f t="shared" si="121"/>
        <v>6.735103048489081</v>
      </c>
      <c r="S160" s="4">
        <f t="shared" si="126"/>
        <v>0.04060939325363153</v>
      </c>
      <c r="T160" s="5">
        <f t="shared" si="122"/>
        <v>287.5770569717025</v>
      </c>
      <c r="U160" s="4">
        <f t="shared" si="108"/>
        <v>288.802740375582</v>
      </c>
      <c r="V160" s="4">
        <f t="shared" si="86"/>
        <v>0.0054938476106613406</v>
      </c>
      <c r="W160" s="4">
        <f>SUMPRODUCT($J$4:J160,$S$198:S$354)</f>
        <v>0.82115821602896</v>
      </c>
      <c r="X160" s="6">
        <f t="shared" si="109"/>
        <v>0.1656054656214354</v>
      </c>
      <c r="Y160" s="4">
        <f t="shared" si="110"/>
        <v>1906</v>
      </c>
      <c r="Z160" s="4">
        <f t="shared" si="123"/>
        <v>156</v>
      </c>
      <c r="AA160" s="21">
        <f t="shared" si="111"/>
        <v>57.72</v>
      </c>
      <c r="AB160" s="6">
        <f t="shared" si="112"/>
        <v>164.0553745</v>
      </c>
      <c r="AC160" s="24">
        <f t="shared" si="87"/>
        <v>159.807136127859</v>
      </c>
      <c r="AD160" s="4">
        <f t="shared" si="88"/>
        <v>6.685364711990829</v>
      </c>
      <c r="AE160" s="4">
        <f t="shared" si="89"/>
        <v>4.248238372141003</v>
      </c>
      <c r="AF160" s="6">
        <f t="shared" si="83"/>
        <v>1068.3689885935032</v>
      </c>
      <c r="AG160" s="30">
        <f t="shared" si="127"/>
        <v>0.19593239079980768</v>
      </c>
      <c r="AH160" s="21">
        <f t="shared" si="130"/>
        <v>0.11679996000000001</v>
      </c>
      <c r="AI160" s="47">
        <f t="shared" si="113"/>
        <v>2.09179996</v>
      </c>
      <c r="AJ160" s="4">
        <f t="shared" si="90"/>
        <v>2.046770391757636</v>
      </c>
      <c r="AK160" s="4">
        <f t="shared" si="91"/>
        <v>123.30932018617284</v>
      </c>
      <c r="AL160" s="4">
        <f t="shared" si="92"/>
        <v>0.045029568242363816</v>
      </c>
      <c r="AM160" s="5">
        <f t="shared" si="124"/>
        <v>252.38586558482075</v>
      </c>
      <c r="AN160" s="26">
        <f t="shared" si="114"/>
        <v>-0.07269187937221439</v>
      </c>
      <c r="AO160" s="4">
        <f t="shared" si="93"/>
        <v>1.2925117004919182</v>
      </c>
      <c r="AP160" s="21">
        <f t="shared" si="78"/>
        <v>11.200000000000001</v>
      </c>
      <c r="AQ160" s="21">
        <f t="shared" si="131"/>
        <v>188.5</v>
      </c>
      <c r="AR160" s="21">
        <f t="shared" si="129"/>
        <v>39.48</v>
      </c>
      <c r="AS160" s="35">
        <f t="shared" si="94"/>
        <v>0.1495804706370628</v>
      </c>
      <c r="AT160" s="36">
        <f t="shared" si="95"/>
        <v>0.2565873799644383</v>
      </c>
      <c r="AU160" s="4">
        <f t="shared" si="96"/>
        <v>28.08120618543065</v>
      </c>
      <c r="AV160" s="4">
        <f t="shared" si="97"/>
        <v>0.12941065978808725</v>
      </c>
      <c r="AW160" s="4">
        <f t="shared" si="98"/>
        <v>0.009796619539990383</v>
      </c>
      <c r="AX160" s="21">
        <f t="shared" si="84"/>
        <v>13.16</v>
      </c>
      <c r="AY160" s="36">
        <f t="shared" si="99"/>
        <v>-0.07764011799410031</v>
      </c>
      <c r="AZ160" s="36">
        <f t="shared" si="100"/>
        <v>-0.22690614995896524</v>
      </c>
      <c r="BA160" s="36">
        <f t="shared" si="101"/>
        <v>-0.021666666666666667</v>
      </c>
      <c r="BB160" s="6">
        <f t="shared" si="115"/>
        <v>0.10184032175737412</v>
      </c>
      <c r="BC160" s="6">
        <f t="shared" si="125"/>
        <v>0.0026247488124378493</v>
      </c>
      <c r="BD160" s="4">
        <f t="shared" si="116"/>
        <v>0.8133981513531111</v>
      </c>
      <c r="BE160" s="4">
        <f>SUMPRODUCT(BC$4:BC160,$BD$198:BD$354)</f>
        <v>0.07046144993789034</v>
      </c>
      <c r="BF160" s="23">
        <f t="shared" si="117"/>
        <v>0.07046144993789034</v>
      </c>
      <c r="BG160" s="48"/>
    </row>
    <row r="161" spans="5:59" ht="15">
      <c r="E161" s="1">
        <f t="shared" si="118"/>
        <v>157</v>
      </c>
      <c r="F161" s="1">
        <f t="shared" si="102"/>
        <v>1907</v>
      </c>
      <c r="G161" s="3">
        <f t="shared" si="132"/>
        <v>0.274</v>
      </c>
      <c r="H161" s="3">
        <f t="shared" si="133"/>
        <v>0.15480000000000005</v>
      </c>
      <c r="I161" s="5">
        <f t="shared" si="103"/>
        <v>0.09011757692673397</v>
      </c>
      <c r="J161" s="5">
        <f t="shared" si="119"/>
        <v>0.13803743515341657</v>
      </c>
      <c r="K161" s="4">
        <f t="shared" si="104"/>
        <v>0.20064498791984955</v>
      </c>
      <c r="L161" s="4">
        <f t="shared" si="105"/>
        <v>0.0004264822669697287</v>
      </c>
      <c r="M161" s="4">
        <f t="shared" si="85"/>
        <v>0.5447597383929125</v>
      </c>
      <c r="N161" s="4">
        <f t="shared" si="106"/>
        <v>0.00023233036818364567</v>
      </c>
      <c r="O161" s="4">
        <f>SUMPRODUCT($M$4:M161,L$197:$L$354)</f>
        <v>0.3534401225774562</v>
      </c>
      <c r="P161" s="4">
        <f t="shared" si="107"/>
        <v>0.19131961581545626</v>
      </c>
      <c r="Q161" s="4">
        <f t="shared" si="120"/>
        <v>5.208230011056608</v>
      </c>
      <c r="R161" s="4">
        <f t="shared" si="121"/>
        <v>6.892498638202811</v>
      </c>
      <c r="S161" s="4">
        <f t="shared" si="126"/>
        <v>0.040709026955271496</v>
      </c>
      <c r="T161" s="5">
        <f t="shared" si="122"/>
        <v>287.7488628477889</v>
      </c>
      <c r="U161" s="4">
        <f t="shared" si="108"/>
        <v>288.9994820102789</v>
      </c>
      <c r="V161" s="4">
        <f t="shared" si="86"/>
        <v>0.0056193696684969765</v>
      </c>
      <c r="W161" s="4">
        <f>SUMPRODUCT($J$4:J161,$S$197:S$354)</f>
        <v>0.839947509092805</v>
      </c>
      <c r="X161" s="6">
        <f t="shared" si="109"/>
        <v>0.16924881535436015</v>
      </c>
      <c r="Y161" s="4">
        <f t="shared" si="110"/>
        <v>1907</v>
      </c>
      <c r="Z161" s="4">
        <f t="shared" si="123"/>
        <v>157</v>
      </c>
      <c r="AA161" s="21">
        <f t="shared" si="111"/>
        <v>58.089999999999996</v>
      </c>
      <c r="AB161" s="6">
        <f t="shared" si="112"/>
        <v>164.4253745</v>
      </c>
      <c r="AC161" s="24">
        <f t="shared" si="87"/>
        <v>160.13437022231548</v>
      </c>
      <c r="AD161" s="4">
        <f t="shared" si="88"/>
        <v>6.698232399930904</v>
      </c>
      <c r="AE161" s="4">
        <f t="shared" si="89"/>
        <v>4.291004277684522</v>
      </c>
      <c r="AF161" s="6">
        <f t="shared" si="83"/>
        <v>1072.6172269656442</v>
      </c>
      <c r="AG161" s="30">
        <f t="shared" si="127"/>
        <v>0.1982695573309719</v>
      </c>
      <c r="AH161" s="21">
        <f t="shared" si="130"/>
        <v>0.13626662</v>
      </c>
      <c r="AI161" s="47">
        <f t="shared" si="113"/>
        <v>2.1112666200000003</v>
      </c>
      <c r="AJ161" s="4">
        <f t="shared" si="90"/>
        <v>2.0481787929882613</v>
      </c>
      <c r="AK161" s="4">
        <f t="shared" si="91"/>
        <v>123.24651344757376</v>
      </c>
      <c r="AL161" s="4">
        <f t="shared" si="92"/>
        <v>0.06308782701173898</v>
      </c>
      <c r="AM161" s="5">
        <f t="shared" si="124"/>
        <v>252.43089515306312</v>
      </c>
      <c r="AN161" s="26">
        <f t="shared" si="114"/>
        <v>-0.07252182134032757</v>
      </c>
      <c r="AO161" s="4">
        <f t="shared" si="93"/>
        <v>1.2897588621225795</v>
      </c>
      <c r="AP161" s="21">
        <f t="shared" si="78"/>
        <v>11.4</v>
      </c>
      <c r="AQ161" s="21">
        <f t="shared" si="131"/>
        <v>195.75</v>
      </c>
      <c r="AR161" s="21">
        <f t="shared" si="129"/>
        <v>40.059999999999995</v>
      </c>
      <c r="AS161" s="35">
        <f t="shared" si="94"/>
        <v>0.14929311798890638</v>
      </c>
      <c r="AT161" s="36">
        <f t="shared" si="95"/>
        <v>0.2544552723131071</v>
      </c>
      <c r="AU161" s="4">
        <f t="shared" si="96"/>
        <v>28.135937648295204</v>
      </c>
      <c r="AV161" s="4">
        <f t="shared" si="97"/>
        <v>0.1317093812283986</v>
      </c>
      <c r="AW161" s="4">
        <f t="shared" si="98"/>
        <v>0.009913477866548595</v>
      </c>
      <c r="AX161" s="21">
        <f t="shared" si="84"/>
        <v>13.395</v>
      </c>
      <c r="AY161" s="36">
        <f t="shared" si="99"/>
        <v>-0.07902654867256638</v>
      </c>
      <c r="AZ161" s="36">
        <f t="shared" si="100"/>
        <v>-0.23044523362753486</v>
      </c>
      <c r="BA161" s="36">
        <f t="shared" si="101"/>
        <v>-0.022500000000000003</v>
      </c>
      <c r="BB161" s="6">
        <f t="shared" si="115"/>
        <v>0.10464762813985046</v>
      </c>
      <c r="BC161" s="6">
        <f t="shared" si="125"/>
        <v>0.002807306382476338</v>
      </c>
      <c r="BD161" s="4">
        <f t="shared" si="116"/>
        <v>0.8129735042581933</v>
      </c>
      <c r="BE161" s="4">
        <f>SUMPRODUCT(BC$4:BC161,$BD$197:BD$354)</f>
        <v>0.07166229613448506</v>
      </c>
      <c r="BF161" s="23">
        <f t="shared" si="117"/>
        <v>0.07166229613448506</v>
      </c>
      <c r="BG161" s="48"/>
    </row>
    <row r="162" spans="5:59" ht="15">
      <c r="E162" s="1">
        <f t="shared" si="118"/>
        <v>158</v>
      </c>
      <c r="F162" s="1">
        <f t="shared" si="102"/>
        <v>1908</v>
      </c>
      <c r="G162" s="3">
        <f t="shared" si="132"/>
        <v>0.281</v>
      </c>
      <c r="H162" s="3">
        <f t="shared" si="133"/>
        <v>0.15620000000000006</v>
      </c>
      <c r="I162" s="5">
        <f t="shared" si="103"/>
        <v>0.09189451514676068</v>
      </c>
      <c r="J162" s="5">
        <f t="shared" si="119"/>
        <v>0.14083673301932986</v>
      </c>
      <c r="K162" s="4">
        <f t="shared" si="104"/>
        <v>0.20446875183390956</v>
      </c>
      <c r="L162" s="4">
        <f t="shared" si="105"/>
        <v>0.0004308041083261141</v>
      </c>
      <c r="M162" s="4">
        <f t="shared" si="85"/>
        <v>0.5567109980507826</v>
      </c>
      <c r="N162" s="4">
        <f t="shared" si="106"/>
        <v>0.00023983338511060845</v>
      </c>
      <c r="O162" s="4">
        <f>SUMPRODUCT($M$4:M162,L$196:$L$354)</f>
        <v>0.36161894239420966</v>
      </c>
      <c r="P162" s="4">
        <f t="shared" si="107"/>
        <v>0.19509205565657295</v>
      </c>
      <c r="Q162" s="4">
        <f t="shared" si="120"/>
        <v>5.327401880875913</v>
      </c>
      <c r="R162" s="4">
        <f t="shared" si="121"/>
        <v>7.052678890725749</v>
      </c>
      <c r="S162" s="4">
        <f t="shared" si="126"/>
        <v>0.0408094387049478</v>
      </c>
      <c r="T162" s="5">
        <f t="shared" si="122"/>
        <v>287.9241461970436</v>
      </c>
      <c r="U162" s="4">
        <f t="shared" si="108"/>
        <v>289.20012699819875</v>
      </c>
      <c r="V162" s="4">
        <f t="shared" si="86"/>
        <v>0.005747468023557439</v>
      </c>
      <c r="W162" s="4">
        <f>SUMPRODUCT($J$4:J162,$S$196:S$354)</f>
        <v>0.8590744535911028</v>
      </c>
      <c r="X162" s="6">
        <f t="shared" si="109"/>
        <v>0.1729618954455103</v>
      </c>
      <c r="Y162" s="4">
        <f t="shared" si="110"/>
        <v>1908</v>
      </c>
      <c r="Z162" s="4">
        <f t="shared" si="123"/>
        <v>158</v>
      </c>
      <c r="AA162" s="21">
        <f t="shared" si="111"/>
        <v>58.46</v>
      </c>
      <c r="AB162" s="6">
        <f t="shared" si="112"/>
        <v>164.7953745</v>
      </c>
      <c r="AC162" s="24">
        <f t="shared" si="87"/>
        <v>160.46508197974603</v>
      </c>
      <c r="AD162" s="4">
        <f t="shared" si="88"/>
        <v>6.7111686726914</v>
      </c>
      <c r="AE162" s="4">
        <f t="shared" si="89"/>
        <v>4.330292520253977</v>
      </c>
      <c r="AF162" s="6">
        <f t="shared" si="83"/>
        <v>1076.9082312433288</v>
      </c>
      <c r="AG162" s="30">
        <f t="shared" si="127"/>
        <v>0.20062555778709218</v>
      </c>
      <c r="AH162" s="21">
        <f t="shared" si="130"/>
        <v>0.15573328</v>
      </c>
      <c r="AI162" s="47">
        <f t="shared" si="113"/>
        <v>2.1307332800000003</v>
      </c>
      <c r="AJ162" s="4">
        <f t="shared" si="90"/>
        <v>2.04972510964671</v>
      </c>
      <c r="AK162" s="4">
        <f t="shared" si="91"/>
        <v>123.18431471212969</v>
      </c>
      <c r="AL162" s="4">
        <f t="shared" si="92"/>
        <v>0.08100817035329033</v>
      </c>
      <c r="AM162" s="5">
        <f t="shared" si="124"/>
        <v>252.49398298007486</v>
      </c>
      <c r="AN162" s="26">
        <f t="shared" si="114"/>
        <v>-0.07228359025281086</v>
      </c>
      <c r="AO162" s="4">
        <f t="shared" si="93"/>
        <v>1.287001991996093</v>
      </c>
      <c r="AP162" s="21">
        <f t="shared" si="78"/>
        <v>11.600000000000001</v>
      </c>
      <c r="AQ162" s="21">
        <f t="shared" si="131"/>
        <v>203</v>
      </c>
      <c r="AR162" s="21">
        <f t="shared" si="129"/>
        <v>40.64</v>
      </c>
      <c r="AS162" s="35">
        <f t="shared" si="94"/>
        <v>0.14900534448927313</v>
      </c>
      <c r="AT162" s="36">
        <f t="shared" si="95"/>
        <v>0.252315476395304</v>
      </c>
      <c r="AU162" s="4">
        <f t="shared" si="96"/>
        <v>28.190789240323376</v>
      </c>
      <c r="AV162" s="4">
        <f t="shared" si="97"/>
        <v>0.1340131480935818</v>
      </c>
      <c r="AW162" s="4">
        <f t="shared" si="98"/>
        <v>0.01003127788935461</v>
      </c>
      <c r="AX162" s="21">
        <f t="shared" si="84"/>
        <v>13.629999999999999</v>
      </c>
      <c r="AY162" s="36">
        <f t="shared" si="99"/>
        <v>-0.08041297935103245</v>
      </c>
      <c r="AZ162" s="36">
        <f t="shared" si="100"/>
        <v>-0.23396933531634403</v>
      </c>
      <c r="BA162" s="36">
        <f t="shared" si="101"/>
        <v>-0.023333333333333334</v>
      </c>
      <c r="BB162" s="6">
        <f t="shared" si="115"/>
        <v>0.10763264096201816</v>
      </c>
      <c r="BC162" s="6">
        <f t="shared" si="125"/>
        <v>0.002985012822167704</v>
      </c>
      <c r="BD162" s="4">
        <f t="shared" si="116"/>
        <v>0.8125478859469142</v>
      </c>
      <c r="BE162" s="4">
        <f>SUMPRODUCT(BC$4:BC162,$BD$196:BD$354)</f>
        <v>0.07292325616027233</v>
      </c>
      <c r="BF162" s="23">
        <f t="shared" si="117"/>
        <v>0.07292325616027233</v>
      </c>
      <c r="BG162" s="48"/>
    </row>
    <row r="163" spans="5:59" ht="15">
      <c r="E163" s="1">
        <f t="shared" si="118"/>
        <v>159</v>
      </c>
      <c r="F163" s="1">
        <f t="shared" si="102"/>
        <v>1909</v>
      </c>
      <c r="G163" s="3">
        <f t="shared" si="132"/>
        <v>0.28800000000000003</v>
      </c>
      <c r="H163" s="3">
        <f t="shared" si="133"/>
        <v>0.15760000000000007</v>
      </c>
      <c r="I163" s="5">
        <f t="shared" si="103"/>
        <v>0.09369982524794764</v>
      </c>
      <c r="J163" s="5">
        <f t="shared" si="119"/>
        <v>0.14364390867630014</v>
      </c>
      <c r="K163" s="4">
        <f t="shared" si="104"/>
        <v>0.20825626607575234</v>
      </c>
      <c r="L163" s="4">
        <f t="shared" si="105"/>
        <v>0.00043517121135665406</v>
      </c>
      <c r="M163" s="4">
        <f t="shared" si="85"/>
        <v>0.5688814899763267</v>
      </c>
      <c r="N163" s="4">
        <f t="shared" si="106"/>
        <v>0.00024756084711137635</v>
      </c>
      <c r="O163" s="4">
        <f>SUMPRODUCT($M$4:M163,L$195:$L$354)</f>
        <v>0.36995676097493385</v>
      </c>
      <c r="P163" s="4">
        <f t="shared" si="107"/>
        <v>0.19892472900139285</v>
      </c>
      <c r="Q163" s="4">
        <f t="shared" si="120"/>
        <v>5.448715318909315</v>
      </c>
      <c r="R163" s="4">
        <f t="shared" si="121"/>
        <v>7.215852636435963</v>
      </c>
      <c r="S163" s="4">
        <f t="shared" si="126"/>
        <v>0.0409106372634742</v>
      </c>
      <c r="T163" s="5">
        <f t="shared" si="122"/>
        <v>288.1031819374254</v>
      </c>
      <c r="U163" s="4">
        <f t="shared" si="108"/>
        <v>289.4045957500327</v>
      </c>
      <c r="V163" s="4">
        <f t="shared" si="86"/>
        <v>0.00587656384296373</v>
      </c>
      <c r="W163" s="4">
        <f>SUMPRODUCT($J$4:J163,$S$195:S$354)</f>
        <v>0.8785059777755949</v>
      </c>
      <c r="X163" s="6">
        <f t="shared" si="109"/>
        <v>0.1767430877684871</v>
      </c>
      <c r="Y163" s="4">
        <f t="shared" si="110"/>
        <v>1909</v>
      </c>
      <c r="Z163" s="4">
        <f t="shared" si="123"/>
        <v>159</v>
      </c>
      <c r="AA163" s="21">
        <f t="shared" si="111"/>
        <v>58.83</v>
      </c>
      <c r="AB163" s="6">
        <f t="shared" si="112"/>
        <v>165.16537449999998</v>
      </c>
      <c r="AC163" s="24">
        <f t="shared" si="87"/>
        <v>160.79888301011053</v>
      </c>
      <c r="AD163" s="4">
        <f t="shared" si="88"/>
        <v>6.724166881778638</v>
      </c>
      <c r="AE163" s="4">
        <f t="shared" si="89"/>
        <v>4.366491489889455</v>
      </c>
      <c r="AF163" s="6">
        <f t="shared" si="83"/>
        <v>1081.2385237635829</v>
      </c>
      <c r="AG163" s="30">
        <f t="shared" si="127"/>
        <v>0.20299837601286183</v>
      </c>
      <c r="AH163" s="21">
        <f t="shared" si="130"/>
        <v>0.17519994</v>
      </c>
      <c r="AI163" s="47">
        <f t="shared" si="113"/>
        <v>2.1501999400000003</v>
      </c>
      <c r="AJ163" s="4">
        <f t="shared" si="90"/>
        <v>2.0514085969783165</v>
      </c>
      <c r="AK163" s="4">
        <f t="shared" si="91"/>
        <v>123.12271261925392</v>
      </c>
      <c r="AL163" s="4">
        <f t="shared" si="92"/>
        <v>0.0987913430216838</v>
      </c>
      <c r="AM163" s="5">
        <f t="shared" si="124"/>
        <v>252.57499115042816</v>
      </c>
      <c r="AN163" s="26">
        <f t="shared" si="114"/>
        <v>-0.07197773233517515</v>
      </c>
      <c r="AO163" s="4">
        <f t="shared" si="93"/>
        <v>1.2842426064168053</v>
      </c>
      <c r="AP163" s="21">
        <f t="shared" si="78"/>
        <v>11.8</v>
      </c>
      <c r="AQ163" s="21">
        <f t="shared" si="131"/>
        <v>210.25</v>
      </c>
      <c r="AR163" s="21">
        <f t="shared" si="129"/>
        <v>41.22</v>
      </c>
      <c r="AS163" s="35">
        <f t="shared" si="94"/>
        <v>0.1487173084162786</v>
      </c>
      <c r="AT163" s="36">
        <f t="shared" si="95"/>
        <v>0.2501691332272393</v>
      </c>
      <c r="AU163" s="4">
        <f t="shared" si="96"/>
        <v>28.245743133136887</v>
      </c>
      <c r="AV163" s="4">
        <f t="shared" si="97"/>
        <v>0.1363212115917493</v>
      </c>
      <c r="AW163" s="4">
        <f t="shared" si="98"/>
        <v>0.010149918800643093</v>
      </c>
      <c r="AX163" s="21">
        <f t="shared" si="84"/>
        <v>13.864999999999998</v>
      </c>
      <c r="AY163" s="36">
        <f t="shared" si="99"/>
        <v>-0.08179941002949853</v>
      </c>
      <c r="AZ163" s="36">
        <f t="shared" si="100"/>
        <v>-0.23747858133709976</v>
      </c>
      <c r="BA163" s="36">
        <f t="shared" si="101"/>
        <v>-0.02416666666666667</v>
      </c>
      <c r="BB163" s="6">
        <f t="shared" si="115"/>
        <v>0.11079020380530119</v>
      </c>
      <c r="BC163" s="6">
        <f t="shared" si="125"/>
        <v>0.0031575628432830294</v>
      </c>
      <c r="BD163" s="4">
        <f t="shared" si="116"/>
        <v>0.8121212938490439</v>
      </c>
      <c r="BE163" s="4">
        <f>SUMPRODUCT(BC$4:BC163,$BD$195:BD$354)</f>
        <v>0.07424898688760871</v>
      </c>
      <c r="BF163" s="23">
        <f t="shared" si="117"/>
        <v>0.07424898688760871</v>
      </c>
      <c r="BG163" s="48"/>
    </row>
    <row r="164" spans="5:59" ht="15">
      <c r="E164" s="1">
        <f t="shared" si="118"/>
        <v>160</v>
      </c>
      <c r="F164" s="1">
        <f t="shared" si="102"/>
        <v>1910</v>
      </c>
      <c r="G164" s="3">
        <f t="shared" si="132"/>
        <v>0.29500000000000004</v>
      </c>
      <c r="H164" s="3">
        <f t="shared" si="133"/>
        <v>0.15900000000000009</v>
      </c>
      <c r="I164" s="5">
        <f t="shared" si="103"/>
        <v>0.09553109168965203</v>
      </c>
      <c r="J164" s="5">
        <f t="shared" si="119"/>
        <v>0.14647907005749283</v>
      </c>
      <c r="K164" s="4">
        <f t="shared" si="104"/>
        <v>0.21198983825285528</v>
      </c>
      <c r="L164" s="4">
        <f t="shared" si="105"/>
        <v>0.00043958412459264645</v>
      </c>
      <c r="M164" s="4">
        <f t="shared" si="85"/>
        <v>0.5812685883972815</v>
      </c>
      <c r="N164" s="4">
        <f t="shared" si="106"/>
        <v>0.0002555164435838223</v>
      </c>
      <c r="O164" s="4">
        <f>SUMPRODUCT($M$4:M164,L$194:$L$354)</f>
        <v>0.3784560807401502</v>
      </c>
      <c r="P164" s="4">
        <f t="shared" si="107"/>
        <v>0.20281250765713127</v>
      </c>
      <c r="Q164" s="4">
        <f t="shared" si="120"/>
        <v>5.571960566223111</v>
      </c>
      <c r="R164" s="4">
        <f t="shared" si="121"/>
        <v>7.381743680702442</v>
      </c>
      <c r="S164" s="4">
        <f t="shared" si="126"/>
        <v>0.041012631525290555</v>
      </c>
      <c r="T164" s="5">
        <f t="shared" si="122"/>
        <v>288.28575164138755</v>
      </c>
      <c r="U164" s="4">
        <f t="shared" si="108"/>
        <v>289.61285201610843</v>
      </c>
      <c r="V164" s="4">
        <f t="shared" si="86"/>
        <v>0.0060074921264351745</v>
      </c>
      <c r="W164" s="4">
        <f>SUMPRODUCT($J$4:J164,$S$194:S$354)</f>
        <v>0.8982508432945011</v>
      </c>
      <c r="X164" s="6">
        <f t="shared" si="109"/>
        <v>0.1805915765345793</v>
      </c>
      <c r="Y164" s="4">
        <f t="shared" si="110"/>
        <v>1910</v>
      </c>
      <c r="Z164" s="4">
        <f t="shared" si="123"/>
        <v>160</v>
      </c>
      <c r="AA164" s="21">
        <f t="shared" si="111"/>
        <v>59.2</v>
      </c>
      <c r="AB164" s="6">
        <f t="shared" si="112"/>
        <v>165.5353745</v>
      </c>
      <c r="AC164" s="24">
        <f t="shared" si="87"/>
        <v>161.13542871608158</v>
      </c>
      <c r="AD164" s="4">
        <f t="shared" si="88"/>
        <v>6.737221130719139</v>
      </c>
      <c r="AE164" s="4">
        <f t="shared" si="89"/>
        <v>4.399945783918412</v>
      </c>
      <c r="AF164" s="6">
        <f t="shared" si="83"/>
        <v>1085.6050152534724</v>
      </c>
      <c r="AG164" s="30">
        <f t="shared" si="127"/>
        <v>0.2053862233899652</v>
      </c>
      <c r="AH164" s="21">
        <f t="shared" si="130"/>
        <v>0.1946666</v>
      </c>
      <c r="AI164" s="47">
        <f t="shared" si="113"/>
        <v>2.1696666000000002</v>
      </c>
      <c r="AJ164" s="4">
        <f t="shared" si="90"/>
        <v>2.0532285061700186</v>
      </c>
      <c r="AK164" s="4">
        <f t="shared" si="91"/>
        <v>123.06169612108778</v>
      </c>
      <c r="AL164" s="4">
        <f t="shared" si="92"/>
        <v>0.1164380938299816</v>
      </c>
      <c r="AM164" s="5">
        <f t="shared" si="124"/>
        <v>252.67378249344983</v>
      </c>
      <c r="AN164" s="26">
        <f t="shared" si="114"/>
        <v>-0.07160479788312557</v>
      </c>
      <c r="AO164" s="4">
        <f t="shared" si="93"/>
        <v>1.2814820405491028</v>
      </c>
      <c r="AP164" s="21">
        <f t="shared" si="78"/>
        <v>12</v>
      </c>
      <c r="AQ164" s="21">
        <f t="shared" si="131"/>
        <v>217.5</v>
      </c>
      <c r="AR164" s="21">
        <f t="shared" si="129"/>
        <v>41.8</v>
      </c>
      <c r="AS164" s="35">
        <f t="shared" si="94"/>
        <v>0.14842914913990046</v>
      </c>
      <c r="AT164" s="36">
        <f t="shared" si="95"/>
        <v>0.24801725232589528</v>
      </c>
      <c r="AU164" s="4">
        <f t="shared" si="96"/>
        <v>28.300783553032886</v>
      </c>
      <c r="AV164" s="4">
        <f t="shared" si="97"/>
        <v>0.13863290922738122</v>
      </c>
      <c r="AW164" s="4">
        <f t="shared" si="98"/>
        <v>0.01026931116949826</v>
      </c>
      <c r="AX164" s="21">
        <f t="shared" si="84"/>
        <v>14.1</v>
      </c>
      <c r="AY164" s="36">
        <f t="shared" si="99"/>
        <v>-0.0831858407079646</v>
      </c>
      <c r="AZ164" s="36">
        <f t="shared" si="100"/>
        <v>-0.24097309641082904</v>
      </c>
      <c r="BA164" s="36">
        <f t="shared" si="101"/>
        <v>-0.025</v>
      </c>
      <c r="BB164" s="6">
        <f t="shared" si="115"/>
        <v>0.1141162853195048</v>
      </c>
      <c r="BC164" s="6">
        <f t="shared" si="125"/>
        <v>0.003326081514203605</v>
      </c>
      <c r="BD164" s="4">
        <f t="shared" si="116"/>
        <v>0.8116937253625861</v>
      </c>
      <c r="BE164" s="4">
        <f>SUMPRODUCT(BC$4:BC164,$BD$194:BD$354)</f>
        <v>0.07564359109810832</v>
      </c>
      <c r="BF164" s="23">
        <f t="shared" si="117"/>
        <v>0.07564359109810832</v>
      </c>
      <c r="BG164" s="48"/>
    </row>
    <row r="165" spans="5:59" ht="15">
      <c r="E165" s="1">
        <f t="shared" si="118"/>
        <v>161</v>
      </c>
      <c r="F165" s="1">
        <f t="shared" si="102"/>
        <v>1911</v>
      </c>
      <c r="G165" s="3">
        <f t="shared" si="132"/>
        <v>0.30200000000000005</v>
      </c>
      <c r="H165" s="3">
        <f t="shared" si="133"/>
        <v>0.1604000000000001</v>
      </c>
      <c r="I165" s="5">
        <f t="shared" si="103"/>
        <v>0.09738580798823213</v>
      </c>
      <c r="J165" s="5">
        <f t="shared" si="119"/>
        <v>0.1493215933989494</v>
      </c>
      <c r="K165" s="4">
        <f t="shared" si="104"/>
        <v>0.2156925986128186</v>
      </c>
      <c r="L165" s="4">
        <f t="shared" si="105"/>
        <v>0.00044404340687944613</v>
      </c>
      <c r="M165" s="4">
        <f t="shared" si="85"/>
        <v>0.5938686149961767</v>
      </c>
      <c r="N165" s="4">
        <f t="shared" si="106"/>
        <v>0.00026370344304168044</v>
      </c>
      <c r="O165" s="4">
        <f>SUMPRODUCT($M$4:M165,L$193:$L$354)</f>
        <v>0.3871185446371599</v>
      </c>
      <c r="P165" s="4">
        <f t="shared" si="107"/>
        <v>0.20675007035901682</v>
      </c>
      <c r="Q165" s="4">
        <f t="shared" si="120"/>
        <v>5.697193193934184</v>
      </c>
      <c r="R165" s="4">
        <f t="shared" si="121"/>
        <v>7.550432649937703</v>
      </c>
      <c r="S165" s="4">
        <f t="shared" si="126"/>
        <v>0.041115430521362406</v>
      </c>
      <c r="T165" s="5">
        <f t="shared" si="122"/>
        <v>288.4719882181668</v>
      </c>
      <c r="U165" s="4">
        <f t="shared" si="108"/>
        <v>289.8248418543613</v>
      </c>
      <c r="V165" s="4">
        <f t="shared" si="86"/>
        <v>0.006139421598733631</v>
      </c>
      <c r="W165" s="4">
        <f>SUMPRODUCT($J$4:J165,$S$193:S$354)</f>
        <v>0.9182888044975968</v>
      </c>
      <c r="X165" s="6">
        <f t="shared" si="109"/>
        <v>0.18450621894480518</v>
      </c>
      <c r="Y165" s="4">
        <f t="shared" si="110"/>
        <v>1911</v>
      </c>
      <c r="Z165" s="4">
        <f t="shared" si="123"/>
        <v>161</v>
      </c>
      <c r="AA165" s="21">
        <f t="shared" si="111"/>
        <v>59.57</v>
      </c>
      <c r="AB165" s="6">
        <f t="shared" si="112"/>
        <v>165.9053745</v>
      </c>
      <c r="AC165" s="24">
        <f t="shared" si="87"/>
        <v>161.47441330107668</v>
      </c>
      <c r="AD165" s="4">
        <f t="shared" si="88"/>
        <v>6.750326189481333</v>
      </c>
      <c r="AE165" s="4">
        <f t="shared" si="89"/>
        <v>4.430961198923313</v>
      </c>
      <c r="AF165" s="6">
        <f t="shared" si="83"/>
        <v>1090.0049610373908</v>
      </c>
      <c r="AG165" s="30">
        <f t="shared" si="127"/>
        <v>0.20778751293122297</v>
      </c>
      <c r="AH165" s="21">
        <f t="shared" si="130"/>
        <v>0.21413326</v>
      </c>
      <c r="AI165" s="47">
        <f t="shared" si="113"/>
        <v>2.18913326</v>
      </c>
      <c r="AJ165" s="4">
        <f t="shared" si="90"/>
        <v>2.0551840846998672</v>
      </c>
      <c r="AK165" s="4">
        <f t="shared" si="91"/>
        <v>123.00125447117624</v>
      </c>
      <c r="AL165" s="4">
        <f t="shared" si="92"/>
        <v>0.13394917530013295</v>
      </c>
      <c r="AM165" s="5">
        <f t="shared" si="124"/>
        <v>252.7902205872798</v>
      </c>
      <c r="AN165" s="26">
        <f t="shared" si="114"/>
        <v>-0.07116534104972984</v>
      </c>
      <c r="AO165" s="4">
        <f t="shared" si="93"/>
        <v>1.2787214695561018</v>
      </c>
      <c r="AP165" s="21">
        <f t="shared" si="78"/>
        <v>12.200000000000001</v>
      </c>
      <c r="AQ165" s="21">
        <f t="shared" si="131"/>
        <v>224.75</v>
      </c>
      <c r="AR165" s="21">
        <f t="shared" si="129"/>
        <v>42.379999999999995</v>
      </c>
      <c r="AS165" s="35">
        <f t="shared" si="94"/>
        <v>0.1481409893285225</v>
      </c>
      <c r="AT165" s="36">
        <f t="shared" si="95"/>
        <v>0.24586072683722632</v>
      </c>
      <c r="AU165" s="4">
        <f t="shared" si="96"/>
        <v>28.355896544605837</v>
      </c>
      <c r="AV165" s="4">
        <f t="shared" si="97"/>
        <v>0.14094765487344518</v>
      </c>
      <c r="AW165" s="4">
        <f t="shared" si="98"/>
        <v>0.01038937564656115</v>
      </c>
      <c r="AX165" s="21">
        <f t="shared" si="84"/>
        <v>14.334999999999999</v>
      </c>
      <c r="AY165" s="36">
        <f t="shared" si="99"/>
        <v>-0.08457227138643068</v>
      </c>
      <c r="AZ165" s="36">
        <f t="shared" si="100"/>
        <v>-0.24445300369447495</v>
      </c>
      <c r="BA165" s="36">
        <f t="shared" si="101"/>
        <v>-0.025833333333333337</v>
      </c>
      <c r="BB165" s="6">
        <f t="shared" si="115"/>
        <v>0.11760681293206568</v>
      </c>
      <c r="BC165" s="6">
        <f t="shared" si="125"/>
        <v>0.003490527612560884</v>
      </c>
      <c r="BD165" s="4">
        <f t="shared" si="116"/>
        <v>0.8112651778518428</v>
      </c>
      <c r="BE165" s="4">
        <f>SUMPRODUCT(BC$4:BC165,$BD$193:BD$354)</f>
        <v>0.07711070874932102</v>
      </c>
      <c r="BF165" s="23">
        <f t="shared" si="117"/>
        <v>0.07711070874932102</v>
      </c>
      <c r="BG165" s="48"/>
    </row>
    <row r="166" spans="5:59" ht="15">
      <c r="E166" s="1">
        <f t="shared" si="118"/>
        <v>162</v>
      </c>
      <c r="F166" s="1">
        <f t="shared" si="102"/>
        <v>1912</v>
      </c>
      <c r="G166" s="3">
        <f t="shared" si="132"/>
        <v>0.30900000000000005</v>
      </c>
      <c r="H166" s="3">
        <f t="shared" si="133"/>
        <v>0.1618000000000001</v>
      </c>
      <c r="I166" s="5">
        <f t="shared" si="103"/>
        <v>0.09926243005455986</v>
      </c>
      <c r="J166" s="5">
        <f t="shared" si="119"/>
        <v>0.1521814469126403</v>
      </c>
      <c r="K166" s="4">
        <f t="shared" si="104"/>
        <v>0.2193561230328</v>
      </c>
      <c r="L166" s="4">
        <f t="shared" si="105"/>
        <v>0.0004485496277262873</v>
      </c>
      <c r="M166" s="4">
        <f t="shared" si="85"/>
        <v>0.6066792668170093</v>
      </c>
      <c r="N166" s="4">
        <f t="shared" si="106"/>
        <v>0.00027212575928002645</v>
      </c>
      <c r="O166" s="4">
        <f>SUMPRODUCT($M$4:M166,L$192:$L$354)</f>
        <v>0.39594512781117874</v>
      </c>
      <c r="P166" s="4">
        <f t="shared" si="107"/>
        <v>0.2107341390058306</v>
      </c>
      <c r="Q166" s="4">
        <f t="shared" si="120"/>
        <v>5.824284793167078</v>
      </c>
      <c r="R166" s="4">
        <f t="shared" si="121"/>
        <v>7.721752394802905</v>
      </c>
      <c r="S166" s="4">
        <f t="shared" si="126"/>
        <v>0.04121904342217779</v>
      </c>
      <c r="T166" s="5">
        <f t="shared" si="122"/>
        <v>288.6617705439456</v>
      </c>
      <c r="U166" s="4">
        <f t="shared" si="108"/>
        <v>290.0405344529741</v>
      </c>
      <c r="V166" s="4">
        <f t="shared" si="86"/>
        <v>0.006272773668341965</v>
      </c>
      <c r="W166" s="4">
        <f>SUMPRODUCT($J$4:J166,$S$192:S$354)</f>
        <v>0.9386214325341735</v>
      </c>
      <c r="X166" s="6">
        <f t="shared" si="109"/>
        <v>0.18848629950470383</v>
      </c>
      <c r="Y166" s="4">
        <f t="shared" si="110"/>
        <v>1912</v>
      </c>
      <c r="Z166" s="4">
        <f t="shared" si="123"/>
        <v>162</v>
      </c>
      <c r="AA166" s="21">
        <f t="shared" si="111"/>
        <v>59.94</v>
      </c>
      <c r="AB166" s="6">
        <f t="shared" si="112"/>
        <v>166.2753745</v>
      </c>
      <c r="AC166" s="24">
        <f t="shared" si="87"/>
        <v>161.8155653506588</v>
      </c>
      <c r="AD166" s="4">
        <f t="shared" si="88"/>
        <v>6.763477418656488</v>
      </c>
      <c r="AE166" s="4">
        <f t="shared" si="89"/>
        <v>4.459809149341197</v>
      </c>
      <c r="AF166" s="6">
        <f t="shared" si="83"/>
        <v>1094.4359222363141</v>
      </c>
      <c r="AG166" s="30">
        <f t="shared" si="127"/>
        <v>0.2102008363388846</v>
      </c>
      <c r="AH166" s="21">
        <f t="shared" si="130"/>
        <v>0.23359992000000002</v>
      </c>
      <c r="AI166" s="47">
        <f t="shared" si="113"/>
        <v>2.20859992</v>
      </c>
      <c r="AJ166" s="4">
        <f t="shared" si="90"/>
        <v>2.0572745766711513</v>
      </c>
      <c r="AK166" s="4">
        <f t="shared" si="91"/>
        <v>122.94137721364991</v>
      </c>
      <c r="AL166" s="4">
        <f t="shared" si="92"/>
        <v>0.15132534332884884</v>
      </c>
      <c r="AM166" s="5">
        <f t="shared" si="124"/>
        <v>252.92416976257994</v>
      </c>
      <c r="AN166" s="26">
        <f t="shared" si="114"/>
        <v>-0.07065991963369633</v>
      </c>
      <c r="AO166" s="4">
        <f t="shared" si="93"/>
        <v>1.2759619272835014</v>
      </c>
      <c r="AP166" s="21">
        <f t="shared" si="78"/>
        <v>12.4</v>
      </c>
      <c r="AQ166" s="21">
        <f t="shared" si="131"/>
        <v>232</v>
      </c>
      <c r="AR166" s="21">
        <f t="shared" si="129"/>
        <v>42.96</v>
      </c>
      <c r="AS166" s="35">
        <f t="shared" si="94"/>
        <v>0.14785293689923226</v>
      </c>
      <c r="AT166" s="36">
        <f t="shared" si="95"/>
        <v>0.2437003469253347</v>
      </c>
      <c r="AU166" s="4">
        <f t="shared" si="96"/>
        <v>28.41106976154165</v>
      </c>
      <c r="AV166" s="4">
        <f t="shared" si="97"/>
        <v>0.14326492998474932</v>
      </c>
      <c r="AW166" s="4">
        <f t="shared" si="98"/>
        <v>0.01051004181694423</v>
      </c>
      <c r="AX166" s="21">
        <f t="shared" si="84"/>
        <v>14.569999999999999</v>
      </c>
      <c r="AY166" s="36">
        <f t="shared" si="99"/>
        <v>-0.08595870206489675</v>
      </c>
      <c r="AZ166" s="36">
        <f t="shared" si="100"/>
        <v>-0.24791842480694226</v>
      </c>
      <c r="BA166" s="36">
        <f t="shared" si="101"/>
        <v>-0.02666666666666667</v>
      </c>
      <c r="BB166" s="6">
        <f t="shared" si="115"/>
        <v>0.12125839447307993</v>
      </c>
      <c r="BC166" s="6">
        <f t="shared" si="125"/>
        <v>0.0036515815410142483</v>
      </c>
      <c r="BD166" s="4">
        <f t="shared" si="116"/>
        <v>0.8108356486453387</v>
      </c>
      <c r="BE166" s="4">
        <f>SUMPRODUCT(BC$4:BC166,$BD$192:BD$354)</f>
        <v>0.07865354584587995</v>
      </c>
      <c r="BF166" s="23">
        <f t="shared" si="117"/>
        <v>0.07865354584587995</v>
      </c>
      <c r="BG166" s="48"/>
    </row>
    <row r="167" spans="5:59" ht="15">
      <c r="E167" s="1">
        <f t="shared" si="118"/>
        <v>163</v>
      </c>
      <c r="F167" s="1">
        <f t="shared" si="102"/>
        <v>1913</v>
      </c>
      <c r="G167" s="3">
        <f t="shared" si="132"/>
        <v>0.31600000000000006</v>
      </c>
      <c r="H167" s="3">
        <f t="shared" si="133"/>
        <v>0.16320000000000012</v>
      </c>
      <c r="I167" s="5">
        <f t="shared" si="103"/>
        <v>0.1011593853392991</v>
      </c>
      <c r="J167" s="5">
        <f t="shared" si="119"/>
        <v>0.15504760606398715</v>
      </c>
      <c r="K167" s="4">
        <f t="shared" si="104"/>
        <v>0.22299300859671395</v>
      </c>
      <c r="L167" s="4">
        <f t="shared" si="105"/>
        <v>0.00045310336767224215</v>
      </c>
      <c r="M167" s="4">
        <f t="shared" si="85"/>
        <v>0.6196977395101739</v>
      </c>
      <c r="N167" s="4">
        <f t="shared" si="106"/>
        <v>0.00028078713271093567</v>
      </c>
      <c r="O167" s="4">
        <f>SUMPRODUCT($M$4:M167,L$191:$L$354)</f>
        <v>0.40493636443484193</v>
      </c>
      <c r="P167" s="4">
        <f t="shared" si="107"/>
        <v>0.214761375075332</v>
      </c>
      <c r="Q167" s="4">
        <f t="shared" si="120"/>
        <v>5.953245329001278</v>
      </c>
      <c r="R167" s="4">
        <f t="shared" si="121"/>
        <v>7.895722085156449</v>
      </c>
      <c r="S167" s="4">
        <f t="shared" si="126"/>
        <v>0.041323479540845864</v>
      </c>
      <c r="T167" s="5">
        <f t="shared" si="122"/>
        <v>288.8551592650672</v>
      </c>
      <c r="U167" s="4">
        <f t="shared" si="108"/>
        <v>290.2598905760069</v>
      </c>
      <c r="V167" s="4">
        <f t="shared" si="86"/>
        <v>0.006407106577042302</v>
      </c>
      <c r="W167" s="4">
        <f>SUMPRODUCT($J$4:J167,$S$191:S$354)</f>
        <v>0.9592355199820095</v>
      </c>
      <c r="X167" s="6">
        <f>5.35*LN(U167/$U$4)</f>
        <v>0.1925309469442178</v>
      </c>
      <c r="Y167" s="4">
        <f t="shared" si="110"/>
        <v>1913</v>
      </c>
      <c r="Z167" s="4">
        <f t="shared" si="123"/>
        <v>163</v>
      </c>
      <c r="AA167" s="21">
        <f t="shared" si="111"/>
        <v>60.31</v>
      </c>
      <c r="AB167" s="6">
        <f t="shared" si="112"/>
        <v>166.6453745</v>
      </c>
      <c r="AC167" s="24">
        <f t="shared" si="87"/>
        <v>162.15864392133543</v>
      </c>
      <c r="AD167" s="4">
        <f t="shared" si="88"/>
        <v>6.776670702295335</v>
      </c>
      <c r="AE167" s="4">
        <f t="shared" si="89"/>
        <v>4.486730578664577</v>
      </c>
      <c r="AF167" s="6">
        <f t="shared" si="83"/>
        <v>1098.8957313856554</v>
      </c>
      <c r="AG167" s="30">
        <f t="shared" si="127"/>
        <v>0.2126249436889736</v>
      </c>
      <c r="AH167" s="21">
        <f t="shared" si="130"/>
        <v>0.25306658</v>
      </c>
      <c r="AI167" s="47">
        <f t="shared" si="113"/>
        <v>2.22806658</v>
      </c>
      <c r="AJ167" s="4">
        <f t="shared" si="90"/>
        <v>2.059499223131863</v>
      </c>
      <c r="AK167" s="4">
        <f t="shared" si="91"/>
        <v>122.88205417288725</v>
      </c>
      <c r="AL167" s="4">
        <f t="shared" si="92"/>
        <v>0.16856735686813717</v>
      </c>
      <c r="AM167" s="5">
        <f t="shared" si="124"/>
        <v>253.07549510590877</v>
      </c>
      <c r="AN167" s="26">
        <f t="shared" si="114"/>
        <v>-0.07008909486889486</v>
      </c>
      <c r="AO167" s="4">
        <f t="shared" si="93"/>
        <v>1.2732043227684782</v>
      </c>
      <c r="AP167" s="21">
        <f t="shared" si="78"/>
        <v>12.600000000000001</v>
      </c>
      <c r="AQ167" s="21">
        <f t="shared" si="131"/>
        <v>239.25</v>
      </c>
      <c r="AR167" s="21">
        <f t="shared" si="129"/>
        <v>43.54</v>
      </c>
      <c r="AS167" s="35">
        <f t="shared" si="94"/>
        <v>0.14756508674108787</v>
      </c>
      <c r="AT167" s="36">
        <f t="shared" si="95"/>
        <v>0.24153681161990995</v>
      </c>
      <c r="AU167" s="4">
        <f t="shared" si="96"/>
        <v>28.466292281501406</v>
      </c>
      <c r="AV167" s="4">
        <f t="shared" si="97"/>
        <v>0.14558427582305908</v>
      </c>
      <c r="AW167" s="4">
        <f t="shared" si="98"/>
        <v>0.010631247184448682</v>
      </c>
      <c r="AX167" s="21">
        <f t="shared" si="84"/>
        <v>14.805</v>
      </c>
      <c r="AY167" s="36">
        <f t="shared" si="99"/>
        <v>-0.08734513274336284</v>
      </c>
      <c r="AZ167" s="36">
        <f t="shared" si="100"/>
        <v>-0.2513694798546008</v>
      </c>
      <c r="BA167" s="36">
        <f t="shared" si="101"/>
        <v>-0.027500000000000004</v>
      </c>
      <c r="BB167" s="6">
        <f t="shared" si="115"/>
        <v>0.12506770617384072</v>
      </c>
      <c r="BC167" s="6">
        <f t="shared" si="125"/>
        <v>0.0038093117007607924</v>
      </c>
      <c r="BD167" s="4">
        <f t="shared" si="116"/>
        <v>0.8104051350335996</v>
      </c>
      <c r="BE167" s="4">
        <f>SUMPRODUCT(BC$4:BC167,$BD$191:BD$354)</f>
        <v>0.08027493622029683</v>
      </c>
      <c r="BF167" s="23">
        <f t="shared" si="117"/>
        <v>0.08027493622029683</v>
      </c>
      <c r="BG167" s="48"/>
    </row>
    <row r="168" spans="5:59" ht="15">
      <c r="E168" s="1">
        <f t="shared" si="118"/>
        <v>164</v>
      </c>
      <c r="F168" s="1">
        <f t="shared" si="102"/>
        <v>1914</v>
      </c>
      <c r="G168" s="3">
        <f t="shared" si="132"/>
        <v>0.32300000000000006</v>
      </c>
      <c r="H168" s="3">
        <f t="shared" si="133"/>
        <v>0.16460000000000014</v>
      </c>
      <c r="I168" s="5">
        <f t="shared" si="103"/>
        <v>0.10307560679635275</v>
      </c>
      <c r="J168" s="5">
        <f t="shared" si="119"/>
        <v>0.15792492575202075</v>
      </c>
      <c r="K168" s="4">
        <f t="shared" si="104"/>
        <v>0.2265994674516267</v>
      </c>
      <c r="L168" s="4">
        <f t="shared" si="105"/>
        <v>0.00045770521866912673</v>
      </c>
      <c r="M168" s="4">
        <f t="shared" si="85"/>
        <v>0.6329219756698206</v>
      </c>
      <c r="N168" s="4">
        <f t="shared" si="106"/>
        <v>0.00028969169127445095</v>
      </c>
      <c r="O168" s="4">
        <f>SUMPRODUCT($M$4:M168,L$190:$L$354)</f>
        <v>0.41409246244116366</v>
      </c>
      <c r="P168" s="4">
        <f t="shared" si="107"/>
        <v>0.2188295132286569</v>
      </c>
      <c r="Q168" s="4">
        <f t="shared" si="120"/>
        <v>6.083991032814072</v>
      </c>
      <c r="R168" s="4">
        <f t="shared" si="121"/>
        <v>8.072234431601869</v>
      </c>
      <c r="S168" s="4">
        <f t="shared" si="126"/>
        <v>0.041428748336301884</v>
      </c>
      <c r="T168" s="5">
        <f t="shared" si="122"/>
        <v>289.0520837572903</v>
      </c>
      <c r="U168" s="4">
        <f t="shared" si="108"/>
        <v>290.4828835846036</v>
      </c>
      <c r="V168" s="4">
        <f t="shared" si="86"/>
        <v>0.006542632005009628</v>
      </c>
      <c r="W168" s="4">
        <f>SUMPRODUCT($J$4:J168,$S$190:S$354)</f>
        <v>0.9801293471524193</v>
      </c>
      <c r="X168" s="6">
        <f aca="true" t="shared" si="134" ref="X168:X231">5.35*LN(U168/$U$4)</f>
        <v>0.19663952205769689</v>
      </c>
      <c r="Y168" s="4">
        <f t="shared" si="110"/>
        <v>1914</v>
      </c>
      <c r="Z168" s="4">
        <f t="shared" si="123"/>
        <v>164</v>
      </c>
      <c r="AA168" s="21">
        <f t="shared" si="111"/>
        <v>60.68</v>
      </c>
      <c r="AB168" s="6">
        <f t="shared" si="112"/>
        <v>167.0153745</v>
      </c>
      <c r="AC168" s="24">
        <f t="shared" si="87"/>
        <v>162.5034350783067</v>
      </c>
      <c r="AD168" s="4">
        <f t="shared" si="88"/>
        <v>6.789902388417974</v>
      </c>
      <c r="AE168" s="4">
        <f t="shared" si="89"/>
        <v>4.511939421693313</v>
      </c>
      <c r="AF168" s="6">
        <f t="shared" si="83"/>
        <v>1103.3824619643199</v>
      </c>
      <c r="AG168" s="30">
        <f t="shared" si="127"/>
        <v>0.21505872544143267</v>
      </c>
      <c r="AH168" s="21">
        <f t="shared" si="130"/>
        <v>0.27253324</v>
      </c>
      <c r="AI168" s="47">
        <f t="shared" si="113"/>
        <v>2.24753324</v>
      </c>
      <c r="AJ168" s="4">
        <f t="shared" si="90"/>
        <v>2.0618572623802267</v>
      </c>
      <c r="AK168" s="4">
        <f t="shared" si="91"/>
        <v>122.82327544363068</v>
      </c>
      <c r="AL168" s="4">
        <f t="shared" si="92"/>
        <v>0.1856759776197734</v>
      </c>
      <c r="AM168" s="5">
        <f t="shared" si="124"/>
        <v>253.2440624627769</v>
      </c>
      <c r="AN168" s="26">
        <f t="shared" si="114"/>
        <v>-0.0694534312152551</v>
      </c>
      <c r="AO168" s="4">
        <f t="shared" si="93"/>
        <v>1.2704494548231435</v>
      </c>
      <c r="AP168" s="21">
        <f t="shared" si="78"/>
        <v>12.8</v>
      </c>
      <c r="AQ168" s="21">
        <f t="shared" si="131"/>
        <v>246.5</v>
      </c>
      <c r="AR168" s="21">
        <f t="shared" si="129"/>
        <v>44.12</v>
      </c>
      <c r="AS168" s="35">
        <f t="shared" si="94"/>
        <v>0.14727752223739948</v>
      </c>
      <c r="AT168" s="36">
        <f t="shared" si="95"/>
        <v>0.23937073929770397</v>
      </c>
      <c r="AU168" s="4">
        <f t="shared" si="96"/>
        <v>28.52155444234838</v>
      </c>
      <c r="AV168" s="4">
        <f t="shared" si="97"/>
        <v>0.14790528657863192</v>
      </c>
      <c r="AW168" s="4">
        <f t="shared" si="98"/>
        <v>0.010752936272071634</v>
      </c>
      <c r="AX168" s="21">
        <f t="shared" si="84"/>
        <v>15.04</v>
      </c>
      <c r="AY168" s="36">
        <f t="shared" si="99"/>
        <v>-0.08873156342182892</v>
      </c>
      <c r="AZ168" s="36">
        <f t="shared" si="100"/>
        <v>-0.2548062874562626</v>
      </c>
      <c r="BA168" s="36">
        <f t="shared" si="101"/>
        <v>-0.028333333333333335</v>
      </c>
      <c r="BB168" s="6">
        <f t="shared" si="115"/>
        <v>0.1290318549231532</v>
      </c>
      <c r="BC168" s="6">
        <f t="shared" si="125"/>
        <v>0.003964148749312474</v>
      </c>
      <c r="BD168" s="4">
        <f t="shared" si="116"/>
        <v>0.8099736342667688</v>
      </c>
      <c r="BE168" s="4">
        <f>SUMPRODUCT(BC$4:BC168,$BD$190:BD$354)</f>
        <v>0.08197736964439666</v>
      </c>
      <c r="BF168" s="23">
        <f t="shared" si="117"/>
        <v>0.08197736964439666</v>
      </c>
      <c r="BG168" s="48"/>
    </row>
    <row r="169" spans="5:59" ht="15">
      <c r="E169" s="1">
        <f t="shared" si="118"/>
        <v>165</v>
      </c>
      <c r="F169" s="1">
        <f t="shared" si="102"/>
        <v>1915</v>
      </c>
      <c r="G169" s="3">
        <f t="shared" si="132"/>
        <v>0.33000000000000007</v>
      </c>
      <c r="H169" s="3">
        <f t="shared" si="133"/>
        <v>0.16600000000000015</v>
      </c>
      <c r="I169" s="5">
        <f t="shared" si="103"/>
        <v>0.10501001705085622</v>
      </c>
      <c r="J169" s="5">
        <f t="shared" si="119"/>
        <v>0.16080741462045028</v>
      </c>
      <c r="K169" s="4">
        <f t="shared" si="104"/>
        <v>0.23018256832869372</v>
      </c>
      <c r="L169" s="4">
        <f t="shared" si="105"/>
        <v>0.0004623557844822018</v>
      </c>
      <c r="M169" s="4">
        <f t="shared" si="85"/>
        <v>0.6463496916937537</v>
      </c>
      <c r="N169" s="4">
        <f t="shared" si="106"/>
        <v>0.0002988435187528948</v>
      </c>
      <c r="O169" s="4">
        <f>SUMPRODUCT($M$4:M169,L$189:$L$354)</f>
        <v>0.4234134254947859</v>
      </c>
      <c r="P169" s="4">
        <f t="shared" si="107"/>
        <v>0.22293626619896778</v>
      </c>
      <c r="Q169" s="4">
        <f t="shared" si="120"/>
        <v>6.216510997408715</v>
      </c>
      <c r="R169" s="4">
        <f t="shared" si="121"/>
        <v>8.25128036675673</v>
      </c>
      <c r="S169" s="4">
        <f t="shared" si="126"/>
        <v>0.041534859416623736</v>
      </c>
      <c r="T169" s="5">
        <f t="shared" si="122"/>
        <v>289.25256787559397</v>
      </c>
      <c r="U169" s="4">
        <f t="shared" si="108"/>
        <v>290.70948305205525</v>
      </c>
      <c r="V169" s="4">
        <f t="shared" si="86"/>
        <v>0.006679113359411127</v>
      </c>
      <c r="W169" s="4">
        <f>SUMPRODUCT($J$4:J169,$S$189:S$354)</f>
        <v>1.001293699097946</v>
      </c>
      <c r="X169" s="6">
        <f t="shared" si="134"/>
        <v>0.20081131536362268</v>
      </c>
      <c r="Y169" s="4">
        <f t="shared" si="110"/>
        <v>1915</v>
      </c>
      <c r="Z169" s="4">
        <f t="shared" si="123"/>
        <v>165</v>
      </c>
      <c r="AA169" s="21">
        <f t="shared" si="111"/>
        <v>61.05</v>
      </c>
      <c r="AB169" s="6">
        <f t="shared" si="112"/>
        <v>167.3853745</v>
      </c>
      <c r="AC169" s="24">
        <f t="shared" si="87"/>
        <v>162.84974883040505</v>
      </c>
      <c r="AD169" s="4">
        <f t="shared" si="88"/>
        <v>6.8031692363234555</v>
      </c>
      <c r="AE169" s="4">
        <f t="shared" si="89"/>
        <v>4.535625669594964</v>
      </c>
      <c r="AF169" s="6">
        <f t="shared" si="83"/>
        <v>1107.8944013860132</v>
      </c>
      <c r="AG169" s="30">
        <f t="shared" si="127"/>
        <v>0.2175011965096411</v>
      </c>
      <c r="AH169" s="21">
        <f t="shared" si="130"/>
        <v>0.2919999</v>
      </c>
      <c r="AI169" s="47">
        <f t="shared" si="113"/>
        <v>2.2669999</v>
      </c>
      <c r="AJ169" s="4">
        <f t="shared" si="90"/>
        <v>2.0643479302569263</v>
      </c>
      <c r="AK169" s="4">
        <f t="shared" si="91"/>
        <v>122.76503138153417</v>
      </c>
      <c r="AL169" s="4">
        <f t="shared" si="92"/>
        <v>0.20265196974307376</v>
      </c>
      <c r="AM169" s="5">
        <f t="shared" si="124"/>
        <v>253.42973844039668</v>
      </c>
      <c r="AN169" s="26">
        <f t="shared" si="114"/>
        <v>-0.06875349615116903</v>
      </c>
      <c r="AO169" s="4">
        <f t="shared" si="93"/>
        <v>1.2676980249146326</v>
      </c>
      <c r="AP169" s="21">
        <f aca="true" t="shared" si="135" ref="AP169:AP232">0.2*(Z169-100)</f>
        <v>13</v>
      </c>
      <c r="AQ169" s="21">
        <f t="shared" si="131"/>
        <v>253.75</v>
      </c>
      <c r="AR169" s="21">
        <f aca="true" t="shared" si="136" ref="AR169:AR204">0.58*(Z169-$Z$104)+$AR$104</f>
        <v>44.699999999999996</v>
      </c>
      <c r="AS169" s="35">
        <f t="shared" si="94"/>
        <v>0.14699031661020628</v>
      </c>
      <c r="AT169" s="36">
        <f t="shared" si="95"/>
        <v>0.23720267695441427</v>
      </c>
      <c r="AU169" s="4">
        <f t="shared" si="96"/>
        <v>28.576847697274776</v>
      </c>
      <c r="AV169" s="4">
        <f t="shared" si="97"/>
        <v>0.15022760328554058</v>
      </c>
      <c r="AW169" s="4">
        <f t="shared" si="98"/>
        <v>0.010875059825482055</v>
      </c>
      <c r="AX169" s="21">
        <f t="shared" si="84"/>
        <v>15.274999999999999</v>
      </c>
      <c r="AY169" s="36">
        <f t="shared" si="99"/>
        <v>-0.09011799410029499</v>
      </c>
      <c r="AZ169" s="36">
        <f t="shared" si="100"/>
        <v>-0.2582289647676474</v>
      </c>
      <c r="BA169" s="36">
        <f t="shared" si="101"/>
        <v>-0.02916666666666667</v>
      </c>
      <c r="BB169" s="6">
        <f t="shared" si="115"/>
        <v>0.1331480532985083</v>
      </c>
      <c r="BC169" s="6">
        <f t="shared" si="125"/>
        <v>0.004116198375355096</v>
      </c>
      <c r="BD169" s="4">
        <f t="shared" si="116"/>
        <v>0.8095411435520564</v>
      </c>
      <c r="BE169" s="4">
        <f>SUMPRODUCT(BC$4:BC169,$BD$189:BD$354)</f>
        <v>0.08376303555176037</v>
      </c>
      <c r="BF169" s="23">
        <f t="shared" si="117"/>
        <v>0.08376303555176037</v>
      </c>
      <c r="BG169" s="48"/>
    </row>
    <row r="170" spans="5:59" ht="15">
      <c r="E170" s="1">
        <f t="shared" si="118"/>
        <v>166</v>
      </c>
      <c r="F170" s="1">
        <f t="shared" si="102"/>
        <v>1916</v>
      </c>
      <c r="G170" s="3">
        <f t="shared" si="132"/>
        <v>0.3370000000000001</v>
      </c>
      <c r="H170" s="3">
        <f t="shared" si="133"/>
        <v>0.16740000000000016</v>
      </c>
      <c r="I170" s="5">
        <f t="shared" si="103"/>
        <v>0.10696180399240163</v>
      </c>
      <c r="J170" s="5">
        <f t="shared" si="119"/>
        <v>0.16369736992721584</v>
      </c>
      <c r="K170" s="4">
        <f t="shared" si="104"/>
        <v>0.2337408260803827</v>
      </c>
      <c r="L170" s="4">
        <f t="shared" si="105"/>
        <v>0.0004670556811095663</v>
      </c>
      <c r="M170" s="4">
        <f t="shared" si="85"/>
        <v>0.6599790214798932</v>
      </c>
      <c r="N170" s="4">
        <f t="shared" si="106"/>
        <v>0.00030824695139531656</v>
      </c>
      <c r="O170" s="4">
        <f>SUMPRODUCT($M$4:M170,L$188:$L$354)</f>
        <v>0.4328991116040245</v>
      </c>
      <c r="P170" s="4">
        <f t="shared" si="107"/>
        <v>0.22707990987586868</v>
      </c>
      <c r="Q170" s="4">
        <f t="shared" si="120"/>
        <v>6.350746776599127</v>
      </c>
      <c r="R170" s="4">
        <f t="shared" si="121"/>
        <v>8.432786558322956</v>
      </c>
      <c r="S170" s="4">
        <f t="shared" si="126"/>
        <v>0.04164182254246496</v>
      </c>
      <c r="T170" s="5">
        <f t="shared" si="122"/>
        <v>289.4565674488434</v>
      </c>
      <c r="U170" s="4">
        <f t="shared" si="108"/>
        <v>290.93966562038395</v>
      </c>
      <c r="V170" s="4">
        <f t="shared" si="86"/>
        <v>0.006816656829177362</v>
      </c>
      <c r="W170" s="4">
        <f>SUMPRODUCT($J$4:J170,$S$188:S$354)</f>
        <v>1.0227254895779005</v>
      </c>
      <c r="X170" s="6">
        <f t="shared" si="134"/>
        <v>0.20504574709160442</v>
      </c>
      <c r="Y170" s="4">
        <f t="shared" si="110"/>
        <v>1916</v>
      </c>
      <c r="Z170" s="4">
        <f t="shared" si="123"/>
        <v>166</v>
      </c>
      <c r="AA170" s="21">
        <f t="shared" si="111"/>
        <v>61.42</v>
      </c>
      <c r="AB170" s="6">
        <f t="shared" si="112"/>
        <v>167.75537450000002</v>
      </c>
      <c r="AC170" s="24">
        <f t="shared" si="87"/>
        <v>163.1974164164095</v>
      </c>
      <c r="AD170" s="4">
        <f t="shared" si="88"/>
        <v>6.816468369923002</v>
      </c>
      <c r="AE170" s="4">
        <f t="shared" si="89"/>
        <v>4.557958083590506</v>
      </c>
      <c r="AF170" s="6">
        <f aca="true" t="shared" si="137" ref="AF170:AF233">AF169+AE169</f>
        <v>1112.4300270556082</v>
      </c>
      <c r="AG170" s="30">
        <f t="shared" si="127"/>
        <v>0.21995148215305876</v>
      </c>
      <c r="AH170" s="21">
        <f t="shared" si="130"/>
        <v>0.31146656</v>
      </c>
      <c r="AI170" s="47">
        <f t="shared" si="113"/>
        <v>2.28646656</v>
      </c>
      <c r="AJ170" s="4">
        <f t="shared" si="90"/>
        <v>2.066970460424672</v>
      </c>
      <c r="AK170" s="4">
        <f t="shared" si="91"/>
        <v>122.70731259411872</v>
      </c>
      <c r="AL170" s="4">
        <f t="shared" si="92"/>
        <v>0.2194960995753279</v>
      </c>
      <c r="AM170" s="5">
        <f t="shared" si="124"/>
        <v>253.63239041013975</v>
      </c>
      <c r="AN170" s="26">
        <f t="shared" si="114"/>
        <v>-0.06798985996752868</v>
      </c>
      <c r="AO170" s="4">
        <f t="shared" si="93"/>
        <v>1.2649506485391364</v>
      </c>
      <c r="AP170" s="21">
        <f t="shared" si="135"/>
        <v>13.200000000000001</v>
      </c>
      <c r="AQ170" s="21">
        <f t="shared" si="131"/>
        <v>261</v>
      </c>
      <c r="AR170" s="21">
        <f t="shared" si="136"/>
        <v>45.279999999999994</v>
      </c>
      <c r="AS170" s="35">
        <f t="shared" si="94"/>
        <v>0.1467035341075449</v>
      </c>
      <c r="AT170" s="36">
        <f t="shared" si="95"/>
        <v>0.23503310840591582</v>
      </c>
      <c r="AU170" s="4">
        <f t="shared" si="96"/>
        <v>28.632164486657565</v>
      </c>
      <c r="AV170" s="4">
        <f t="shared" si="97"/>
        <v>0.15255090843961774</v>
      </c>
      <c r="AW170" s="4">
        <f t="shared" si="98"/>
        <v>0.01099757410765294</v>
      </c>
      <c r="AX170" s="21">
        <f aca="true" t="shared" si="138" ref="AX170:AX198">0.235*(Z170-$Z$104)</f>
        <v>15.51</v>
      </c>
      <c r="AY170" s="36">
        <f t="shared" si="99"/>
        <v>-0.09150442477876107</v>
      </c>
      <c r="AZ170" s="36">
        <f t="shared" si="100"/>
        <v>-0.26163762750534486</v>
      </c>
      <c r="BA170" s="36">
        <f t="shared" si="101"/>
        <v>-0.03</v>
      </c>
      <c r="BB170" s="6">
        <f t="shared" si="115"/>
        <v>0.13741379954029928</v>
      </c>
      <c r="BC170" s="6">
        <f t="shared" si="125"/>
        <v>0.004265746241790991</v>
      </c>
      <c r="BD170" s="4">
        <f t="shared" si="116"/>
        <v>0.8091076600510023</v>
      </c>
      <c r="BE170" s="4">
        <f>SUMPRODUCT(BC$4:BC170,$BD$188:BD$354)</f>
        <v>0.08563384815262583</v>
      </c>
      <c r="BF170" s="23">
        <f t="shared" si="117"/>
        <v>0.08563384815262583</v>
      </c>
      <c r="BG170" s="48"/>
    </row>
    <row r="171" spans="5:59" ht="15">
      <c r="E171" s="1">
        <f t="shared" si="118"/>
        <v>167</v>
      </c>
      <c r="F171" s="1">
        <f t="shared" si="102"/>
        <v>1917</v>
      </c>
      <c r="G171" s="3">
        <f t="shared" si="132"/>
        <v>0.3440000000000001</v>
      </c>
      <c r="H171" s="3">
        <f t="shared" si="133"/>
        <v>0.16880000000000017</v>
      </c>
      <c r="I171" s="5">
        <f t="shared" si="103"/>
        <v>0.10893015353248323</v>
      </c>
      <c r="J171" s="5">
        <f t="shared" si="119"/>
        <v>0.166591473472525</v>
      </c>
      <c r="K171" s="4">
        <f t="shared" si="104"/>
        <v>0.237278372994992</v>
      </c>
      <c r="L171" s="4">
        <f t="shared" si="105"/>
        <v>0.00047180553722118003</v>
      </c>
      <c r="M171" s="4">
        <f t="shared" si="85"/>
        <v>0.6738080091270388</v>
      </c>
      <c r="N171" s="4">
        <f t="shared" si="106"/>
        <v>0.0003179063497301163</v>
      </c>
      <c r="O171" s="4">
        <f>SUMPRODUCT($M$4:M171,L$187:$L$354)</f>
        <v>0.44254929317757685</v>
      </c>
      <c r="P171" s="4">
        <f t="shared" si="107"/>
        <v>0.2312587159494619</v>
      </c>
      <c r="Q171" s="4">
        <f t="shared" si="120"/>
        <v>6.486678795775855</v>
      </c>
      <c r="R171" s="4">
        <f t="shared" si="121"/>
        <v>8.616732130017144</v>
      </c>
      <c r="S171" s="4">
        <f t="shared" si="126"/>
        <v>0.04174964763060984</v>
      </c>
      <c r="T171" s="5">
        <f t="shared" si="122"/>
        <v>289.6640876968033</v>
      </c>
      <c r="U171" s="4">
        <f t="shared" si="108"/>
        <v>291.17340644646436</v>
      </c>
      <c r="V171" s="4">
        <f t="shared" si="86"/>
        <v>0.006955135315742007</v>
      </c>
      <c r="W171" s="4">
        <f>SUMPRODUCT($J$4:J171,$S$187:S$354)</f>
        <v>1.044417869815036</v>
      </c>
      <c r="X171" s="6">
        <f t="shared" si="134"/>
        <v>0.2093422095719894</v>
      </c>
      <c r="Y171" s="4">
        <f t="shared" si="110"/>
        <v>1917</v>
      </c>
      <c r="Z171" s="4">
        <f t="shared" si="123"/>
        <v>167</v>
      </c>
      <c r="AA171" s="21">
        <f t="shared" si="111"/>
        <v>61.79</v>
      </c>
      <c r="AB171" s="6">
        <f t="shared" si="112"/>
        <v>168.1253745</v>
      </c>
      <c r="AC171" s="24">
        <f t="shared" si="87"/>
        <v>163.5462879021949</v>
      </c>
      <c r="AD171" s="4">
        <f t="shared" si="88"/>
        <v>6.829797236408005</v>
      </c>
      <c r="AE171" s="4">
        <f t="shared" si="89"/>
        <v>4.579086597805087</v>
      </c>
      <c r="AF171" s="6">
        <f t="shared" si="137"/>
        <v>1116.9879851391988</v>
      </c>
      <c r="AG171" s="30">
        <f t="shared" si="127"/>
        <v>0.22240880548361786</v>
      </c>
      <c r="AH171" s="21">
        <f t="shared" si="130"/>
        <v>0.33093322000000003</v>
      </c>
      <c r="AI171" s="47">
        <f t="shared" si="113"/>
        <v>2.30593322</v>
      </c>
      <c r="AJ171" s="4">
        <f t="shared" si="90"/>
        <v>2.0697240846356917</v>
      </c>
      <c r="AK171" s="4">
        <f t="shared" si="91"/>
        <v>122.65010993211567</v>
      </c>
      <c r="AL171" s="4">
        <f t="shared" si="92"/>
        <v>0.23620913536430832</v>
      </c>
      <c r="AM171" s="5">
        <f t="shared" si="124"/>
        <v>253.8518865097151</v>
      </c>
      <c r="AN171" s="26">
        <f t="shared" si="114"/>
        <v>-0.06716309556352136</v>
      </c>
      <c r="AO171" s="4">
        <f t="shared" si="93"/>
        <v>1.2622078652649658</v>
      </c>
      <c r="AP171" s="21">
        <f t="shared" si="135"/>
        <v>13.4</v>
      </c>
      <c r="AQ171" s="21">
        <f t="shared" si="131"/>
        <v>268.25</v>
      </c>
      <c r="AR171" s="21">
        <f t="shared" si="136"/>
        <v>45.86</v>
      </c>
      <c r="AS171" s="35">
        <f t="shared" si="94"/>
        <v>0.14641723105178595</v>
      </c>
      <c r="AT171" s="36">
        <f t="shared" si="95"/>
        <v>0.23286246154215845</v>
      </c>
      <c r="AU171" s="4">
        <f t="shared" si="96"/>
        <v>28.687498124716278</v>
      </c>
      <c r="AV171" s="4">
        <f t="shared" si="97"/>
        <v>0.1548749212380837</v>
      </c>
      <c r="AW171" s="4">
        <f t="shared" si="98"/>
        <v>0.011120440274180894</v>
      </c>
      <c r="AX171" s="21">
        <f t="shared" si="138"/>
        <v>15.745</v>
      </c>
      <c r="AY171" s="36">
        <f t="shared" si="99"/>
        <v>-0.09289085545722714</v>
      </c>
      <c r="AZ171" s="36">
        <f t="shared" si="100"/>
        <v>-0.26503238997029016</v>
      </c>
      <c r="BA171" s="36">
        <f t="shared" si="101"/>
        <v>-0.030833333333333338</v>
      </c>
      <c r="BB171" s="6">
        <f t="shared" si="115"/>
        <v>0.14182670224349986</v>
      </c>
      <c r="BC171" s="6">
        <f t="shared" si="125"/>
        <v>0.004412902703200577</v>
      </c>
      <c r="BD171" s="4">
        <f t="shared" si="116"/>
        <v>0.8086731808765464</v>
      </c>
      <c r="BE171" s="4">
        <f>SUMPRODUCT(BC$4:BC171,$BD$187:BD$354)</f>
        <v>0.08759147855980988</v>
      </c>
      <c r="BF171" s="23">
        <f t="shared" si="117"/>
        <v>0.08759147855980988</v>
      </c>
      <c r="BG171" s="48"/>
    </row>
    <row r="172" spans="5:59" ht="15">
      <c r="E172" s="1">
        <f t="shared" si="118"/>
        <v>168</v>
      </c>
      <c r="F172" s="1">
        <f t="shared" si="102"/>
        <v>1918</v>
      </c>
      <c r="G172" s="3">
        <f t="shared" si="132"/>
        <v>0.3510000000000001</v>
      </c>
      <c r="H172" s="3">
        <f t="shared" si="133"/>
        <v>0.17020000000000018</v>
      </c>
      <c r="I172" s="5">
        <f t="shared" si="103"/>
        <v>0.11091439375027948</v>
      </c>
      <c r="J172" s="5">
        <f t="shared" si="119"/>
        <v>0.16949076080341885</v>
      </c>
      <c r="K172" s="4">
        <f t="shared" si="104"/>
        <v>0.24079484544630203</v>
      </c>
      <c r="L172" s="4">
        <f t="shared" si="105"/>
        <v>0.00047660599461850497</v>
      </c>
      <c r="M172" s="4">
        <f t="shared" si="85"/>
        <v>0.68783494144516</v>
      </c>
      <c r="N172" s="4">
        <f t="shared" si="106"/>
        <v>0.0003278262564008316</v>
      </c>
      <c r="O172" s="4">
        <f>SUMPRODUCT($M$4:M172,L$186:$L$354)</f>
        <v>0.45236368351331663</v>
      </c>
      <c r="P172" s="4">
        <f t="shared" si="107"/>
        <v>0.23547125793184337</v>
      </c>
      <c r="Q172" s="4">
        <f t="shared" si="120"/>
        <v>6.624263616285422</v>
      </c>
      <c r="R172" s="4">
        <f t="shared" si="121"/>
        <v>8.803063868657633</v>
      </c>
      <c r="S172" s="4">
        <f t="shared" si="126"/>
        <v>0.04185834475765644</v>
      </c>
      <c r="T172" s="5">
        <f t="shared" si="122"/>
        <v>289.87509852658036</v>
      </c>
      <c r="U172" s="4">
        <f t="shared" si="108"/>
        <v>291.41068481945933</v>
      </c>
      <c r="V172" s="4">
        <f t="shared" si="86"/>
        <v>0.00709460269894699</v>
      </c>
      <c r="W172" s="4">
        <f>SUMPRODUCT($J$4:J172,$S$186:S$354)</f>
        <v>1.0663673199860297</v>
      </c>
      <c r="X172" s="6">
        <f t="shared" si="134"/>
        <v>0.21370017054190513</v>
      </c>
      <c r="Y172" s="4">
        <f t="shared" si="110"/>
        <v>1918</v>
      </c>
      <c r="Z172" s="4">
        <f t="shared" si="123"/>
        <v>168</v>
      </c>
      <c r="AA172" s="21">
        <f t="shared" si="111"/>
        <v>62.16</v>
      </c>
      <c r="AB172" s="6">
        <f t="shared" si="112"/>
        <v>168.4953745</v>
      </c>
      <c r="AC172" s="24">
        <f t="shared" si="87"/>
        <v>163.89623005285128</v>
      </c>
      <c r="AD172" s="4">
        <f t="shared" si="88"/>
        <v>6.843153569641807</v>
      </c>
      <c r="AE172" s="4">
        <f t="shared" si="89"/>
        <v>4.599144447148717</v>
      </c>
      <c r="AF172" s="6">
        <f t="shared" si="137"/>
        <v>1121.567071737004</v>
      </c>
      <c r="AG172" s="30">
        <f t="shared" si="127"/>
        <v>0.22487247640040012</v>
      </c>
      <c r="AH172" s="21">
        <f t="shared" si="130"/>
        <v>0.35039988</v>
      </c>
      <c r="AI172" s="47">
        <f t="shared" si="113"/>
        <v>2.32539988</v>
      </c>
      <c r="AJ172" s="4">
        <f t="shared" si="90"/>
        <v>2.0726080329876972</v>
      </c>
      <c r="AK172" s="4">
        <f t="shared" si="91"/>
        <v>122.59341448117779</v>
      </c>
      <c r="AL172" s="4">
        <f t="shared" si="92"/>
        <v>0.25279184701230273</v>
      </c>
      <c r="AM172" s="5">
        <f t="shared" si="124"/>
        <v>254.0880956450794</v>
      </c>
      <c r="AN172" s="26">
        <f t="shared" si="114"/>
        <v>-0.06627377824430546</v>
      </c>
      <c r="AO172" s="4">
        <f t="shared" si="93"/>
        <v>1.2594701475998424</v>
      </c>
      <c r="AP172" s="21">
        <f t="shared" si="135"/>
        <v>13.600000000000001</v>
      </c>
      <c r="AQ172" s="21">
        <f t="shared" si="131"/>
        <v>275.5</v>
      </c>
      <c r="AR172" s="21">
        <f t="shared" si="136"/>
        <v>46.44</v>
      </c>
      <c r="AS172" s="35">
        <f t="shared" si="94"/>
        <v>0.14613145676523862</v>
      </c>
      <c r="AT172" s="36">
        <f t="shared" si="95"/>
        <v>0.23069111474308773</v>
      </c>
      <c r="AU172" s="4">
        <f t="shared" si="96"/>
        <v>28.742842699264255</v>
      </c>
      <c r="AV172" s="4">
        <f t="shared" si="97"/>
        <v>0.15719939336909872</v>
      </c>
      <c r="AW172" s="4">
        <f t="shared" si="98"/>
        <v>0.011243623820020006</v>
      </c>
      <c r="AX172" s="21">
        <f t="shared" si="138"/>
        <v>15.979999999999999</v>
      </c>
      <c r="AY172" s="36">
        <f t="shared" si="99"/>
        <v>-0.09427728613569322</v>
      </c>
      <c r="AZ172" s="36">
        <f t="shared" si="100"/>
        <v>-0.2684133650707611</v>
      </c>
      <c r="BA172" s="36">
        <f t="shared" si="101"/>
        <v>-0.03166666666666667</v>
      </c>
      <c r="BB172" s="6">
        <f t="shared" si="115"/>
        <v>0.14638456801399752</v>
      </c>
      <c r="BC172" s="6">
        <f t="shared" si="125"/>
        <v>0.00455786577049766</v>
      </c>
      <c r="BD172" s="4">
        <f t="shared" si="116"/>
        <v>0.8082377030898868</v>
      </c>
      <c r="BE172" s="4">
        <f>SUMPRODUCT(BC$4:BC172,$BD$186:BD$354)</f>
        <v>0.08963737630607109</v>
      </c>
      <c r="BF172" s="23">
        <f t="shared" si="117"/>
        <v>0.08963737630607109</v>
      </c>
      <c r="BG172" s="48"/>
    </row>
    <row r="173" spans="5:59" ht="15">
      <c r="E173" s="1">
        <f t="shared" si="118"/>
        <v>169</v>
      </c>
      <c r="F173" s="1">
        <f t="shared" si="102"/>
        <v>1919</v>
      </c>
      <c r="G173" s="3">
        <f t="shared" si="132"/>
        <v>0.3580000000000001</v>
      </c>
      <c r="H173" s="3">
        <f t="shared" si="133"/>
        <v>0.1716000000000002</v>
      </c>
      <c r="I173" s="5">
        <f t="shared" si="103"/>
        <v>0.11291385658446508</v>
      </c>
      <c r="J173" s="5">
        <f t="shared" si="119"/>
        <v>0.17239335609956666</v>
      </c>
      <c r="K173" s="4">
        <f t="shared" si="104"/>
        <v>0.24429278731596857</v>
      </c>
      <c r="L173" s="4">
        <f t="shared" si="105"/>
        <v>0.00048145770871580216</v>
      </c>
      <c r="M173" s="4">
        <f t="shared" si="85"/>
        <v>0.7020580817100993</v>
      </c>
      <c r="N173" s="4">
        <f t="shared" si="106"/>
        <v>0.0003380112754055558</v>
      </c>
      <c r="O173" s="4">
        <f>SUMPRODUCT($M$4:M173,L$185:$L$354)</f>
        <v>0.46234196418127993</v>
      </c>
      <c r="P173" s="4">
        <f t="shared" si="107"/>
        <v>0.23971611752881938</v>
      </c>
      <c r="Q173" s="4">
        <f t="shared" si="120"/>
        <v>6.763478913502554</v>
      </c>
      <c r="R173" s="4">
        <f t="shared" si="121"/>
        <v>8.991757077900795</v>
      </c>
      <c r="S173" s="4">
        <f t="shared" si="126"/>
        <v>0.041967924163833485</v>
      </c>
      <c r="T173" s="5">
        <f t="shared" si="122"/>
        <v>290.0895958586436</v>
      </c>
      <c r="U173" s="4">
        <f t="shared" si="108"/>
        <v>291.65147966490565</v>
      </c>
      <c r="V173" s="4">
        <f t="shared" si="86"/>
        <v>0.007234991295135354</v>
      </c>
      <c r="W173" s="4">
        <f>SUMPRODUCT($J$4:J173,$S$185:S$354)</f>
        <v>1.088568469971999</v>
      </c>
      <c r="X173" s="6">
        <f t="shared" si="134"/>
        <v>0.218119090426773</v>
      </c>
      <c r="Y173" s="4">
        <f t="shared" si="110"/>
        <v>1919</v>
      </c>
      <c r="Z173" s="4">
        <f t="shared" si="123"/>
        <v>169</v>
      </c>
      <c r="AA173" s="21">
        <f t="shared" si="111"/>
        <v>62.53</v>
      </c>
      <c r="AB173" s="6">
        <f t="shared" si="112"/>
        <v>168.8653745</v>
      </c>
      <c r="AC173" s="24">
        <f t="shared" si="87"/>
        <v>164.24712444805328</v>
      </c>
      <c r="AD173" s="4">
        <f t="shared" si="88"/>
        <v>6.8565353577336285</v>
      </c>
      <c r="AE173" s="4">
        <f t="shared" si="89"/>
        <v>4.618250051946717</v>
      </c>
      <c r="AF173" s="6">
        <f t="shared" si="137"/>
        <v>1126.1662161841527</v>
      </c>
      <c r="AG173" s="30">
        <f t="shared" si="127"/>
        <v>0.2273418817883774</v>
      </c>
      <c r="AH173" s="21">
        <f t="shared" si="130"/>
        <v>0.36986654</v>
      </c>
      <c r="AI173" s="47">
        <f t="shared" si="113"/>
        <v>2.34486654</v>
      </c>
      <c r="AJ173" s="4">
        <f t="shared" si="90"/>
        <v>2.0756215341688633</v>
      </c>
      <c r="AK173" s="4">
        <f t="shared" si="91"/>
        <v>122.5372175539395</v>
      </c>
      <c r="AL173" s="4">
        <f t="shared" si="92"/>
        <v>0.26924500583113664</v>
      </c>
      <c r="AM173" s="5">
        <f t="shared" si="124"/>
        <v>254.3408874920917</v>
      </c>
      <c r="AN173" s="26">
        <f t="shared" si="114"/>
        <v>-0.06532248552068537</v>
      </c>
      <c r="AO173" s="4">
        <f t="shared" si="93"/>
        <v>1.256737908819839</v>
      </c>
      <c r="AP173" s="21">
        <f t="shared" si="135"/>
        <v>13.8</v>
      </c>
      <c r="AQ173" s="21">
        <f t="shared" si="131"/>
        <v>282.75</v>
      </c>
      <c r="AR173" s="21">
        <f t="shared" si="136"/>
        <v>47.019999999999996</v>
      </c>
      <c r="AS173" s="35">
        <f t="shared" si="94"/>
        <v>0.1458462543873677</v>
      </c>
      <c r="AT173" s="36">
        <f t="shared" si="95"/>
        <v>0.22851940255348693</v>
      </c>
      <c r="AU173" s="4">
        <f t="shared" si="96"/>
        <v>28.798192983039268</v>
      </c>
      <c r="AV173" s="4">
        <f t="shared" si="97"/>
        <v>0.15952410528764926</v>
      </c>
      <c r="AW173" s="4">
        <f t="shared" si="98"/>
        <v>0.01136709408941887</v>
      </c>
      <c r="AX173" s="21">
        <f t="shared" si="138"/>
        <v>16.215</v>
      </c>
      <c r="AY173" s="36">
        <f t="shared" si="99"/>
        <v>-0.0956637168141593</v>
      </c>
      <c r="AZ173" s="36">
        <f t="shared" si="100"/>
        <v>-0.27178066434491227</v>
      </c>
      <c r="BA173" s="36">
        <f t="shared" si="101"/>
        <v>-0.0325</v>
      </c>
      <c r="BB173" s="6">
        <f t="shared" si="115"/>
        <v>0.15108530491246155</v>
      </c>
      <c r="BC173" s="6">
        <f t="shared" si="125"/>
        <v>0.004700736898464036</v>
      </c>
      <c r="BD173" s="4">
        <f t="shared" si="116"/>
        <v>0.8078012236971137</v>
      </c>
      <c r="BE173" s="4">
        <f>SUMPRODUCT(BC$4:BC173,$BD$185:BD$354)</f>
        <v>0.0917727936558956</v>
      </c>
      <c r="BF173" s="23">
        <f t="shared" si="117"/>
        <v>0.0917727936558956</v>
      </c>
      <c r="BG173" s="48"/>
    </row>
    <row r="174" spans="5:59" ht="15">
      <c r="E174" s="1">
        <f t="shared" si="118"/>
        <v>170</v>
      </c>
      <c r="F174" s="1">
        <f t="shared" si="102"/>
        <v>1920</v>
      </c>
      <c r="G174" s="3">
        <f t="shared" si="132"/>
        <v>0.3650000000000001</v>
      </c>
      <c r="H174" s="3">
        <f t="shared" si="133"/>
        <v>0.1730000000000002</v>
      </c>
      <c r="I174" s="5">
        <f t="shared" si="103"/>
        <v>0.11492795387047179</v>
      </c>
      <c r="J174" s="5">
        <f t="shared" si="119"/>
        <v>0.17529968691821105</v>
      </c>
      <c r="K174" s="4">
        <f t="shared" si="104"/>
        <v>0.24777235921131743</v>
      </c>
      <c r="L174" s="4">
        <f t="shared" si="105"/>
        <v>0.00048636134904417696</v>
      </c>
      <c r="M174" s="4">
        <f t="shared" si="85"/>
        <v>0.7164758414650024</v>
      </c>
      <c r="N174" s="4">
        <f t="shared" si="106"/>
        <v>0.00034846615681248045</v>
      </c>
      <c r="O174" s="4">
        <f>SUMPRODUCT($M$4:M174,L$184:$L$354)</f>
        <v>0.4724837953979908</v>
      </c>
      <c r="P174" s="4">
        <f t="shared" si="107"/>
        <v>0.24399204606701164</v>
      </c>
      <c r="Q174" s="4">
        <f t="shared" si="120"/>
        <v>6.904290627225718</v>
      </c>
      <c r="R174" s="4">
        <f t="shared" si="121"/>
        <v>9.182771111310387</v>
      </c>
      <c r="S174" s="4">
        <f t="shared" si="126"/>
        <v>0.042078396256957556</v>
      </c>
      <c r="T174" s="5">
        <f t="shared" si="122"/>
        <v>290.3075572887426</v>
      </c>
      <c r="U174" s="4">
        <f t="shared" si="108"/>
        <v>291.8957724522216</v>
      </c>
      <c r="V174" s="4">
        <f t="shared" si="86"/>
        <v>0.0073763296898650835</v>
      </c>
      <c r="W174" s="4">
        <f>SUMPRODUCT($J$4:J174,$S$184:S$354)</f>
        <v>1.1110178028076965</v>
      </c>
      <c r="X174" s="6">
        <f t="shared" si="134"/>
        <v>0.2225984757164787</v>
      </c>
      <c r="Y174" s="4">
        <f t="shared" si="110"/>
        <v>1920</v>
      </c>
      <c r="Z174" s="4">
        <f t="shared" si="123"/>
        <v>170</v>
      </c>
      <c r="AA174" s="21">
        <f t="shared" si="111"/>
        <v>62.9</v>
      </c>
      <c r="AB174" s="6">
        <f t="shared" si="112"/>
        <v>169.2353745</v>
      </c>
      <c r="AC174" s="24">
        <f t="shared" si="87"/>
        <v>164.59886581262975</v>
      </c>
      <c r="AD174" s="4">
        <f t="shared" si="88"/>
        <v>6.8699408143147345</v>
      </c>
      <c r="AE174" s="4">
        <f t="shared" si="89"/>
        <v>4.636508687370252</v>
      </c>
      <c r="AF174" s="6">
        <f t="shared" si="137"/>
        <v>1130.7844662360994</v>
      </c>
      <c r="AG174" s="30">
        <f t="shared" si="127"/>
        <v>0.22981647683584333</v>
      </c>
      <c r="AH174" s="21">
        <f t="shared" si="130"/>
        <v>0.3893332</v>
      </c>
      <c r="AI174" s="47">
        <f t="shared" si="113"/>
        <v>2.3643332</v>
      </c>
      <c r="AJ174" s="4">
        <f t="shared" si="90"/>
        <v>2.0787638156923114</v>
      </c>
      <c r="AK174" s="4">
        <f t="shared" si="91"/>
        <v>122.48151068240884</v>
      </c>
      <c r="AL174" s="4">
        <f t="shared" si="92"/>
        <v>0.2855693843076885</v>
      </c>
      <c r="AM174" s="5">
        <f t="shared" si="124"/>
        <v>254.61013249792282</v>
      </c>
      <c r="AN174" s="26">
        <f t="shared" si="114"/>
        <v>-0.06430979691089952</v>
      </c>
      <c r="AO174" s="4">
        <f t="shared" si="93"/>
        <v>1.2540115098815625</v>
      </c>
      <c r="AP174" s="21">
        <f t="shared" si="135"/>
        <v>14</v>
      </c>
      <c r="AQ174" s="21">
        <f t="shared" si="131"/>
        <v>290</v>
      </c>
      <c r="AR174" s="21">
        <f t="shared" si="136"/>
        <v>47.599999999999994</v>
      </c>
      <c r="AS174" s="35">
        <f t="shared" si="94"/>
        <v>0.14556166159631587</v>
      </c>
      <c r="AT174" s="36">
        <f t="shared" si="95"/>
        <v>0.22634762070254788</v>
      </c>
      <c r="AU174" s="4">
        <f t="shared" si="96"/>
        <v>28.85354435527269</v>
      </c>
      <c r="AV174" s="4">
        <f t="shared" si="97"/>
        <v>0.16184886292145295</v>
      </c>
      <c r="AW174" s="4">
        <f t="shared" si="98"/>
        <v>0.011490823841792166</v>
      </c>
      <c r="AX174" s="21">
        <f t="shared" si="138"/>
        <v>16.45</v>
      </c>
      <c r="AY174" s="36">
        <f t="shared" si="99"/>
        <v>-0.09705014749262537</v>
      </c>
      <c r="AZ174" s="36">
        <f t="shared" si="100"/>
        <v>-0.2751343979828529</v>
      </c>
      <c r="BA174" s="36">
        <f t="shared" si="101"/>
        <v>-0.03333333333333333</v>
      </c>
      <c r="BB174" s="6">
        <f t="shared" si="115"/>
        <v>0.15592696359585603</v>
      </c>
      <c r="BC174" s="6">
        <f t="shared" si="125"/>
        <v>0.004841658683394479</v>
      </c>
      <c r="BD174" s="4">
        <f t="shared" si="116"/>
        <v>0.8073637396456022</v>
      </c>
      <c r="BE174" s="4">
        <f>SUMPRODUCT(BC$4:BC174,$BD$184:BD$354)</f>
        <v>0.09399880363218806</v>
      </c>
      <c r="BF174" s="23">
        <f t="shared" si="117"/>
        <v>0.09399880363218806</v>
      </c>
      <c r="BG174" s="48"/>
    </row>
    <row r="175" spans="5:59" ht="15">
      <c r="E175" s="1">
        <f t="shared" si="118"/>
        <v>171</v>
      </c>
      <c r="F175" s="1">
        <f t="shared" si="102"/>
        <v>1921</v>
      </c>
      <c r="G175" s="3">
        <f t="shared" si="132"/>
        <v>0.3720000000000001</v>
      </c>
      <c r="H175" s="3">
        <f t="shared" si="133"/>
        <v>0.17440000000000022</v>
      </c>
      <c r="I175" s="5">
        <f t="shared" si="103"/>
        <v>0.11695610557032173</v>
      </c>
      <c r="J175" s="5">
        <f t="shared" si="119"/>
        <v>0.1782086707007143</v>
      </c>
      <c r="K175" s="4">
        <f t="shared" si="104"/>
        <v>0.25123522372896434</v>
      </c>
      <c r="L175" s="4">
        <f t="shared" si="105"/>
        <v>0.0004913175997795172</v>
      </c>
      <c r="M175" s="4">
        <f t="shared" si="85"/>
        <v>0.7310866395926944</v>
      </c>
      <c r="N175" s="4">
        <f t="shared" si="106"/>
        <v>0.00035919573299555556</v>
      </c>
      <c r="O175" s="4">
        <f>SUMPRODUCT($M$4:M175,L$183:$L$354)</f>
        <v>0.4827888274669013</v>
      </c>
      <c r="P175" s="4">
        <f t="shared" si="107"/>
        <v>0.24829781212579305</v>
      </c>
      <c r="Q175" s="4">
        <f t="shared" si="120"/>
        <v>7.0466764509571025</v>
      </c>
      <c r="R175" s="4">
        <f t="shared" si="121"/>
        <v>9.376081206476725</v>
      </c>
      <c r="S175" s="4">
        <f t="shared" si="126"/>
        <v>0.042189771616537315</v>
      </c>
      <c r="T175" s="5">
        <f t="shared" si="122"/>
        <v>290.5289742548844</v>
      </c>
      <c r="U175" s="4">
        <f t="shared" si="108"/>
        <v>292.1435448114329</v>
      </c>
      <c r="V175" s="4">
        <f t="shared" si="86"/>
        <v>0.007518583116949842</v>
      </c>
      <c r="W175" s="4">
        <f>SUMPRODUCT($J$4:J175,$S$183:S$354)</f>
        <v>1.1337109278901303</v>
      </c>
      <c r="X175" s="6">
        <f t="shared" si="134"/>
        <v>0.2271378351812378</v>
      </c>
      <c r="Y175" s="4">
        <f t="shared" si="110"/>
        <v>1921</v>
      </c>
      <c r="Z175" s="4">
        <f t="shared" si="123"/>
        <v>171</v>
      </c>
      <c r="AA175" s="21">
        <f t="shared" si="111"/>
        <v>63.269999999999996</v>
      </c>
      <c r="AB175" s="6">
        <f t="shared" si="112"/>
        <v>169.60537449999998</v>
      </c>
      <c r="AC175" s="24">
        <f t="shared" si="87"/>
        <v>164.9513605375307</v>
      </c>
      <c r="AD175" s="4">
        <f t="shared" si="88"/>
        <v>6.883368353091772</v>
      </c>
      <c r="AE175" s="4">
        <f t="shared" si="89"/>
        <v>4.654013962469293</v>
      </c>
      <c r="AF175" s="6">
        <f t="shared" si="137"/>
        <v>1135.4209749234697</v>
      </c>
      <c r="AG175" s="30">
        <f t="shared" si="127"/>
        <v>0.23229577734189616</v>
      </c>
      <c r="AH175" s="21">
        <f t="shared" si="130"/>
        <v>0.40879986</v>
      </c>
      <c r="AI175" s="47">
        <f t="shared" si="113"/>
        <v>2.38379986</v>
      </c>
      <c r="AJ175" s="4">
        <f t="shared" si="90"/>
        <v>2.0820341041205688</v>
      </c>
      <c r="AK175" s="4">
        <f t="shared" si="91"/>
        <v>122.42628561067494</v>
      </c>
      <c r="AL175" s="4">
        <f t="shared" si="92"/>
        <v>0.3017657558794311</v>
      </c>
      <c r="AM175" s="5">
        <f t="shared" si="124"/>
        <v>254.8957018822305</v>
      </c>
      <c r="AN175" s="26">
        <f t="shared" si="114"/>
        <v>-0.06323629374463287</v>
      </c>
      <c r="AO175" s="4">
        <f t="shared" si="93"/>
        <v>1.2512912655250898</v>
      </c>
      <c r="AP175" s="21">
        <f t="shared" si="135"/>
        <v>14.200000000000001</v>
      </c>
      <c r="AQ175" s="21">
        <f t="shared" si="131"/>
        <v>297.25</v>
      </c>
      <c r="AR175" s="21">
        <f t="shared" si="136"/>
        <v>48.18</v>
      </c>
      <c r="AS175" s="35">
        <f t="shared" si="94"/>
        <v>0.14527771124595337</v>
      </c>
      <c r="AT175" s="36">
        <f t="shared" si="95"/>
        <v>0.22417603054411475</v>
      </c>
      <c r="AU175" s="4">
        <f t="shared" si="96"/>
        <v>28.908892732310704</v>
      </c>
      <c r="AV175" s="4">
        <f t="shared" si="97"/>
        <v>0.1641734947570496</v>
      </c>
      <c r="AW175" s="4">
        <f t="shared" si="98"/>
        <v>0.011614788867094808</v>
      </c>
      <c r="AX175" s="21">
        <f t="shared" si="138"/>
        <v>16.685</v>
      </c>
      <c r="AY175" s="36">
        <f t="shared" si="99"/>
        <v>-0.09843657817109144</v>
      </c>
      <c r="AZ175" s="36">
        <f t="shared" si="100"/>
        <v>-0.2784746748482834</v>
      </c>
      <c r="BA175" s="36">
        <f t="shared" si="101"/>
        <v>-0.03416666666666667</v>
      </c>
      <c r="BB175" s="6">
        <f t="shared" si="115"/>
        <v>0.16090768271660394</v>
      </c>
      <c r="BC175" s="6">
        <f t="shared" si="125"/>
        <v>0.004980719120747906</v>
      </c>
      <c r="BD175" s="4">
        <f t="shared" si="116"/>
        <v>0.8069252478201455</v>
      </c>
      <c r="BE175" s="4">
        <f>SUMPRODUCT(BC$4:BC175,$BD$183:BD$354)</f>
        <v>0.09631631882491741</v>
      </c>
      <c r="BF175" s="23">
        <f t="shared" si="117"/>
        <v>0.09631631882491741</v>
      </c>
      <c r="BG175" s="48"/>
    </row>
    <row r="176" spans="5:59" ht="15">
      <c r="E176" s="1">
        <f t="shared" si="118"/>
        <v>172</v>
      </c>
      <c r="F176" s="1">
        <f t="shared" si="102"/>
        <v>1922</v>
      </c>
      <c r="G176" s="3">
        <f t="shared" si="132"/>
        <v>0.3790000000000001</v>
      </c>
      <c r="H176" s="3">
        <f t="shared" si="133"/>
        <v>0.17580000000000023</v>
      </c>
      <c r="I176" s="5">
        <f t="shared" si="103"/>
        <v>0.11899778003096023</v>
      </c>
      <c r="J176" s="5">
        <f t="shared" si="119"/>
        <v>0.181120453572339</v>
      </c>
      <c r="K176" s="4">
        <f t="shared" si="104"/>
        <v>0.25468176639670115</v>
      </c>
      <c r="L176" s="4">
        <f t="shared" si="105"/>
        <v>0.0004963271602955322</v>
      </c>
      <c r="M176" s="4">
        <f t="shared" si="85"/>
        <v>0.7458889909018019</v>
      </c>
      <c r="N176" s="4">
        <f t="shared" si="106"/>
        <v>0.00037020496474999144</v>
      </c>
      <c r="O176" s="4">
        <f>SUMPRODUCT($M$4:M176,L$182:$L$354)</f>
        <v>0.49325670389607335</v>
      </c>
      <c r="P176" s="4">
        <f>M176-O176</f>
        <v>0.2526322870057286</v>
      </c>
      <c r="Q176" s="4">
        <f t="shared" si="120"/>
        <v>7.190608537115302</v>
      </c>
      <c r="R176" s="4">
        <f t="shared" si="121"/>
        <v>9.571655038239598</v>
      </c>
      <c r="S176" s="4">
        <f t="shared" si="126"/>
        <v>0.042302060998031896</v>
      </c>
      <c r="T176" s="5">
        <f t="shared" si="122"/>
        <v>290.75382872579644</v>
      </c>
      <c r="U176" s="4">
        <f t="shared" si="108"/>
        <v>292.39478003516183</v>
      </c>
      <c r="V176" s="4">
        <f t="shared" si="86"/>
        <v>0.007661768475008288</v>
      </c>
      <c r="W176" s="4">
        <f>SUMPRODUCT($J$4:J176,$S$182:S$354)</f>
        <v>1.1566445206784588</v>
      </c>
      <c r="X176" s="6">
        <f t="shared" si="134"/>
        <v>0.2317367073939977</v>
      </c>
      <c r="Y176" s="4">
        <f t="shared" si="110"/>
        <v>1922</v>
      </c>
      <c r="Z176" s="4">
        <f t="shared" si="123"/>
        <v>172</v>
      </c>
      <c r="AA176" s="21">
        <f t="shared" si="111"/>
        <v>63.64</v>
      </c>
      <c r="AB176" s="6">
        <f t="shared" si="112"/>
        <v>169.9753745</v>
      </c>
      <c r="AC176" s="24">
        <f t="shared" si="87"/>
        <v>165.3045253692619</v>
      </c>
      <c r="AD176" s="4">
        <f t="shared" si="88"/>
        <v>6.896816565300963</v>
      </c>
      <c r="AE176" s="4">
        <f t="shared" si="89"/>
        <v>4.670849130738077</v>
      </c>
      <c r="AF176" s="6">
        <f t="shared" si="137"/>
        <v>1140.0749888859389</v>
      </c>
      <c r="AG176" s="30">
        <f t="shared" si="127"/>
        <v>0.23477935290014065</v>
      </c>
      <c r="AH176" s="21">
        <f t="shared" si="130"/>
        <v>0.42826652</v>
      </c>
      <c r="AI176" s="47">
        <f t="shared" si="113"/>
        <v>2.40326652</v>
      </c>
      <c r="AJ176" s="4">
        <f t="shared" si="90"/>
        <v>2.085431625280461</v>
      </c>
      <c r="AK176" s="4">
        <f t="shared" si="91"/>
        <v>122.37153428791487</v>
      </c>
      <c r="AL176" s="4">
        <f t="shared" si="92"/>
        <v>0.31783489471953885</v>
      </c>
      <c r="AM176" s="5">
        <f t="shared" si="124"/>
        <v>255.19746763810994</v>
      </c>
      <c r="AN176" s="26">
        <f t="shared" si="114"/>
        <v>-0.06210255896936303</v>
      </c>
      <c r="AO176" s="4">
        <f t="shared" si="93"/>
        <v>1.2485774496626618</v>
      </c>
      <c r="AP176" s="21">
        <f t="shared" si="135"/>
        <v>14.4</v>
      </c>
      <c r="AQ176" s="21">
        <f t="shared" si="131"/>
        <v>304.5</v>
      </c>
      <c r="AR176" s="21">
        <f t="shared" si="136"/>
        <v>48.76</v>
      </c>
      <c r="AS176" s="35">
        <f t="shared" si="94"/>
        <v>0.14499443192837216</v>
      </c>
      <c r="AT176" s="36">
        <f t="shared" si="95"/>
        <v>0.2220048629847861</v>
      </c>
      <c r="AU176" s="4">
        <f t="shared" si="96"/>
        <v>28.964234506237716</v>
      </c>
      <c r="AV176" s="4">
        <f t="shared" si="97"/>
        <v>0.16649784926198408</v>
      </c>
      <c r="AW176" s="4">
        <f t="shared" si="98"/>
        <v>0.011738967645007033</v>
      </c>
      <c r="AX176" s="21">
        <f t="shared" si="138"/>
        <v>16.919999999999998</v>
      </c>
      <c r="AY176" s="36">
        <f t="shared" si="99"/>
        <v>-0.09982300884955753</v>
      </c>
      <c r="AZ176" s="36">
        <f t="shared" si="100"/>
        <v>-0.28180160249969965</v>
      </c>
      <c r="BA176" s="36">
        <f t="shared" si="101"/>
        <v>-0.034999999999999996</v>
      </c>
      <c r="BB176" s="6">
        <f t="shared" si="115"/>
        <v>0.1660257068825093</v>
      </c>
      <c r="BC176" s="6">
        <f t="shared" si="125"/>
        <v>0.005118024165905372</v>
      </c>
      <c r="BD176" s="4">
        <f t="shared" si="116"/>
        <v>0.8064857450388125</v>
      </c>
      <c r="BE176" s="4">
        <f>SUMPRODUCT(BC$4:BC176,$BD$182:BD$354)</f>
        <v>0.09872610630752486</v>
      </c>
      <c r="BF176" s="23">
        <f t="shared" si="117"/>
        <v>0.09872610630752486</v>
      </c>
      <c r="BG176" s="48"/>
    </row>
    <row r="177" spans="5:59" ht="15">
      <c r="E177" s="1">
        <f t="shared" si="118"/>
        <v>173</v>
      </c>
      <c r="F177" s="1">
        <f t="shared" si="102"/>
        <v>1923</v>
      </c>
      <c r="G177" s="3">
        <f t="shared" si="132"/>
        <v>0.3860000000000001</v>
      </c>
      <c r="H177" s="3">
        <f t="shared" si="133"/>
        <v>0.17720000000000025</v>
      </c>
      <c r="I177" s="5">
        <f t="shared" si="103"/>
        <v>0.12105245649259126</v>
      </c>
      <c r="J177" s="5">
        <f t="shared" si="119"/>
        <v>0.1840343989967162</v>
      </c>
      <c r="K177" s="4">
        <f t="shared" si="104"/>
        <v>0.2581131445106929</v>
      </c>
      <c r="L177" s="4">
        <f t="shared" si="105"/>
        <v>0.0005013907457431583</v>
      </c>
      <c r="M177" s="4">
        <f t="shared" si="85"/>
        <v>0.7608814307234931</v>
      </c>
      <c r="N177" s="4">
        <f t="shared" si="106"/>
        <v>0.00038149890797257346</v>
      </c>
      <c r="O177" s="4">
        <f>SUMPRODUCT($M$4:M177,L$181:$L$354)</f>
        <v>0.5038870655897218</v>
      </c>
      <c r="P177" s="4">
        <f t="shared" si="107"/>
        <v>0.2569943651337713</v>
      </c>
      <c r="Q177" s="4">
        <f t="shared" si="120"/>
        <v>7.336065799662269</v>
      </c>
      <c r="R177" s="4">
        <f t="shared" si="121"/>
        <v>9.769469421846912</v>
      </c>
      <c r="S177" s="4">
        <f t="shared" si="126"/>
        <v>0.04241527533727081</v>
      </c>
      <c r="T177" s="5">
        <f t="shared" si="122"/>
        <v>290.98211014664827</v>
      </c>
      <c r="U177" s="4">
        <f t="shared" si="108"/>
        <v>292.6494618015585</v>
      </c>
      <c r="V177" s="4">
        <f t="shared" si="86"/>
        <v>0.007805869704974873</v>
      </c>
      <c r="W177" s="4">
        <f>SUMPRODUCT($J$4:J177,$S$181:S$354)</f>
        <v>1.1798148781350895</v>
      </c>
      <c r="X177" s="6">
        <f t="shared" si="134"/>
        <v>0.23639463730375657</v>
      </c>
      <c r="Y177" s="4">
        <f t="shared" si="110"/>
        <v>1923</v>
      </c>
      <c r="Z177" s="4">
        <f t="shared" si="123"/>
        <v>173</v>
      </c>
      <c r="AA177" s="21">
        <f t="shared" si="111"/>
        <v>64.01</v>
      </c>
      <c r="AB177" s="6">
        <f t="shared" si="112"/>
        <v>170.3453745</v>
      </c>
      <c r="AC177" s="24">
        <f t="shared" si="87"/>
        <v>165.6582862484008</v>
      </c>
      <c r="AD177" s="4">
        <f t="shared" si="88"/>
        <v>6.910284199730021</v>
      </c>
      <c r="AE177" s="4">
        <f t="shared" si="89"/>
        <v>4.687088251599192</v>
      </c>
      <c r="AF177" s="6">
        <f t="shared" si="137"/>
        <v>1144.745838016677</v>
      </c>
      <c r="AG177" s="30">
        <f t="shared" si="127"/>
        <v>0.2372668208579201</v>
      </c>
      <c r="AH177" s="21">
        <f t="shared" si="130"/>
        <v>0.44773318</v>
      </c>
      <c r="AI177" s="47">
        <f t="shared" si="113"/>
        <v>2.4227331800000003</v>
      </c>
      <c r="AJ177" s="4">
        <f t="shared" si="90"/>
        <v>2.0889556044688455</v>
      </c>
      <c r="AK177" s="4">
        <f t="shared" si="91"/>
        <v>122.317248861686</v>
      </c>
      <c r="AL177" s="4">
        <f t="shared" si="92"/>
        <v>0.3337775755311547</v>
      </c>
      <c r="AM177" s="5">
        <f t="shared" si="124"/>
        <v>255.51530253282948</v>
      </c>
      <c r="AN177" s="26">
        <f t="shared" si="114"/>
        <v>-0.06090917695914058</v>
      </c>
      <c r="AO177" s="4">
        <f t="shared" si="93"/>
        <v>1.245870300137049</v>
      </c>
      <c r="AP177" s="21">
        <f t="shared" si="135"/>
        <v>14.600000000000001</v>
      </c>
      <c r="AQ177" s="21">
        <f t="shared" si="131"/>
        <v>311.75</v>
      </c>
      <c r="AR177" s="21">
        <f t="shared" si="136"/>
        <v>49.339999999999996</v>
      </c>
      <c r="AS177" s="35">
        <f t="shared" si="94"/>
        <v>0.14471184847058377</v>
      </c>
      <c r="AT177" s="36">
        <f t="shared" si="95"/>
        <v>0.21983432195928818</v>
      </c>
      <c r="AU177" s="4">
        <f t="shared" si="96"/>
        <v>29.019566490573624</v>
      </c>
      <c r="AV177" s="4">
        <f t="shared" si="97"/>
        <v>0.16882179260409222</v>
      </c>
      <c r="AW177" s="4">
        <f t="shared" si="98"/>
        <v>0.011863341042896007</v>
      </c>
      <c r="AX177" s="21">
        <f t="shared" si="138"/>
        <v>17.154999999999998</v>
      </c>
      <c r="AY177" s="36">
        <f t="shared" si="99"/>
        <v>-0.1012094395280236</v>
      </c>
      <c r="AZ177" s="36">
        <f t="shared" si="100"/>
        <v>-0.2851152872111739</v>
      </c>
      <c r="BA177" s="36">
        <f t="shared" si="101"/>
        <v>-0.035833333333333335</v>
      </c>
      <c r="BB177" s="6">
        <f t="shared" si="115"/>
        <v>0.1712793547769935</v>
      </c>
      <c r="BC177" s="6">
        <f t="shared" si="125"/>
        <v>0.005253647894484181</v>
      </c>
      <c r="BD177" s="4">
        <f t="shared" si="116"/>
        <v>0.8060452280485069</v>
      </c>
      <c r="BE177" s="4">
        <f>SUMPRODUCT(BC$4:BC177,$BD$181:BD$354)</f>
        <v>0.10122880242389178</v>
      </c>
      <c r="BF177" s="23">
        <f t="shared" si="117"/>
        <v>0.10122880242389178</v>
      </c>
      <c r="BG177" s="48"/>
    </row>
    <row r="178" spans="5:59" ht="15">
      <c r="E178" s="1">
        <f t="shared" si="118"/>
        <v>174</v>
      </c>
      <c r="F178" s="1">
        <f t="shared" si="102"/>
        <v>1924</v>
      </c>
      <c r="G178" s="3">
        <f t="shared" si="132"/>
        <v>0.3930000000000001</v>
      </c>
      <c r="H178" s="3">
        <f t="shared" si="133"/>
        <v>0.17860000000000026</v>
      </c>
      <c r="I178" s="5">
        <f t="shared" si="103"/>
        <v>0.12311964637189024</v>
      </c>
      <c r="J178" s="5">
        <f t="shared" si="119"/>
        <v>0.18695053203560108</v>
      </c>
      <c r="K178" s="4">
        <f t="shared" si="104"/>
        <v>0.26152982159250904</v>
      </c>
      <c r="L178" s="4">
        <f t="shared" si="105"/>
        <v>0.0005065090876576619</v>
      </c>
      <c r="M178" s="4">
        <f t="shared" si="85"/>
        <v>0.7760625603399546</v>
      </c>
      <c r="N178" s="4">
        <f t="shared" si="106"/>
        <v>0.00039308273940305956</v>
      </c>
      <c r="O178" s="4">
        <f>SUMPRODUCT($M$4:M178,L$180:$L$354)</f>
        <v>0.5146795510924316</v>
      </c>
      <c r="P178" s="4">
        <f t="shared" si="107"/>
        <v>0.261383009247523</v>
      </c>
      <c r="Q178" s="4">
        <f t="shared" si="120"/>
        <v>7.483024751928634</v>
      </c>
      <c r="R178" s="4">
        <f t="shared" si="121"/>
        <v>9.969497873097007</v>
      </c>
      <c r="S178" s="4">
        <f t="shared" si="126"/>
        <v>0.04252942575504334</v>
      </c>
      <c r="T178" s="5">
        <f t="shared" si="122"/>
        <v>291.21380312582664</v>
      </c>
      <c r="U178" s="4">
        <f t="shared" si="108"/>
        <v>292.9075749460692</v>
      </c>
      <c r="V178" s="4">
        <f t="shared" si="86"/>
        <v>0.007950898772073948</v>
      </c>
      <c r="W178" s="4">
        <f>SUMPRODUCT($J$4:J178,$S$180:S$354)</f>
        <v>1.2032189368909054</v>
      </c>
      <c r="X178" s="6">
        <f t="shared" si="134"/>
        <v>0.2411111903495213</v>
      </c>
      <c r="Y178" s="4">
        <f t="shared" si="110"/>
        <v>1924</v>
      </c>
      <c r="Z178" s="4">
        <f t="shared" si="123"/>
        <v>174</v>
      </c>
      <c r="AA178" s="21">
        <f t="shared" si="111"/>
        <v>64.38</v>
      </c>
      <c r="AB178" s="6">
        <f t="shared" si="112"/>
        <v>170.7153745</v>
      </c>
      <c r="AC178" s="24">
        <f t="shared" si="87"/>
        <v>166.0125772800509</v>
      </c>
      <c r="AD178" s="4">
        <f t="shared" si="88"/>
        <v>6.923770145012978</v>
      </c>
      <c r="AE178" s="4">
        <f t="shared" si="89"/>
        <v>4.702797219949105</v>
      </c>
      <c r="AF178" s="6">
        <f t="shared" si="137"/>
        <v>1149.432926268276</v>
      </c>
      <c r="AG178" s="30">
        <f t="shared" si="127"/>
        <v>0.23975784096200073</v>
      </c>
      <c r="AH178" s="21">
        <f t="shared" si="130"/>
        <v>0.46719984000000003</v>
      </c>
      <c r="AI178" s="47">
        <f t="shared" si="113"/>
        <v>2.4421998400000002</v>
      </c>
      <c r="AJ178" s="4">
        <f t="shared" si="90"/>
        <v>2.0926052666496076</v>
      </c>
      <c r="AK178" s="4">
        <f t="shared" si="91"/>
        <v>122.26342167148947</v>
      </c>
      <c r="AL178" s="4">
        <f t="shared" si="92"/>
        <v>0.3495945733503927</v>
      </c>
      <c r="AM178" s="5">
        <f t="shared" si="124"/>
        <v>255.84908010836062</v>
      </c>
      <c r="AN178" s="26">
        <f t="shared" si="114"/>
        <v>-0.05965673332590356</v>
      </c>
      <c r="AO178" s="4">
        <f t="shared" si="93"/>
        <v>1.2431700229236797</v>
      </c>
      <c r="AP178" s="21">
        <f t="shared" si="135"/>
        <v>14.8</v>
      </c>
      <c r="AQ178" s="21">
        <f t="shared" si="131"/>
        <v>319</v>
      </c>
      <c r="AR178" s="21">
        <f t="shared" si="136"/>
        <v>49.919999999999995</v>
      </c>
      <c r="AS178" s="35">
        <f t="shared" si="94"/>
        <v>0.14442998237315482</v>
      </c>
      <c r="AT178" s="36">
        <f t="shared" si="95"/>
        <v>0.21766458750564896</v>
      </c>
      <c r="AU178" s="4">
        <f t="shared" si="96"/>
        <v>29.074885872224236</v>
      </c>
      <c r="AV178" s="4">
        <f t="shared" si="97"/>
        <v>0.17114520663341792</v>
      </c>
      <c r="AW178" s="4">
        <f t="shared" si="98"/>
        <v>0.011987892048100036</v>
      </c>
      <c r="AX178" s="21">
        <f t="shared" si="138"/>
        <v>17.39</v>
      </c>
      <c r="AY178" s="36">
        <f t="shared" si="99"/>
        <v>-0.10259587020648969</v>
      </c>
      <c r="AZ178" s="36">
        <f t="shared" si="100"/>
        <v>-0.2884158339927244</v>
      </c>
      <c r="BA178" s="36">
        <f t="shared" si="101"/>
        <v>-0.03666666666666667</v>
      </c>
      <c r="BB178" s="6">
        <f t="shared" si="115"/>
        <v>0.17666702580125565</v>
      </c>
      <c r="BC178" s="6">
        <f t="shared" si="125"/>
        <v>0.005387671024262158</v>
      </c>
      <c r="BD178" s="4">
        <f t="shared" si="116"/>
        <v>0.8056036935202082</v>
      </c>
      <c r="BE178" s="4">
        <f>SUMPRODUCT(BC$4:BC178,$BD$180:BD$354)</f>
        <v>0.10382492504850874</v>
      </c>
      <c r="BF178" s="23">
        <f t="shared" si="117"/>
        <v>0.10382492504850874</v>
      </c>
      <c r="BG178" s="48"/>
    </row>
    <row r="179" spans="5:59" ht="15">
      <c r="E179" s="1">
        <f t="shared" si="118"/>
        <v>175</v>
      </c>
      <c r="F179" s="1">
        <f t="shared" si="102"/>
        <v>1925</v>
      </c>
      <c r="G179" s="3">
        <f t="shared" si="132"/>
        <v>0.40000000000000013</v>
      </c>
      <c r="H179" s="3">
        <f t="shared" si="133"/>
        <v>0.18000000000000027</v>
      </c>
      <c r="I179" s="5">
        <f t="shared" si="103"/>
        <v>0.12519887345125233</v>
      </c>
      <c r="J179" s="5">
        <f t="shared" si="119"/>
        <v>0.1898684731223721</v>
      </c>
      <c r="K179" s="4">
        <f t="shared" si="104"/>
        <v>0.26493265342637595</v>
      </c>
      <c r="L179" s="4">
        <f t="shared" si="105"/>
        <v>0.000511682934594843</v>
      </c>
      <c r="M179" s="4">
        <f t="shared" si="85"/>
        <v>0.7914310060830978</v>
      </c>
      <c r="N179" s="4">
        <f t="shared" si="106"/>
        <v>0.00040496173972194853</v>
      </c>
      <c r="O179" s="4">
        <f>SUMPRODUCT($M$4:M179,L$179:$L$354)</f>
        <v>0.5256337977460891</v>
      </c>
      <c r="P179" s="4">
        <f t="shared" si="107"/>
        <v>0.2657972083370087</v>
      </c>
      <c r="Q179" s="4">
        <f t="shared" si="120"/>
        <v>7.631465964368837</v>
      </c>
      <c r="R179" s="4">
        <f t="shared" si="121"/>
        <v>10.171719392809099</v>
      </c>
      <c r="S179" s="4">
        <f t="shared" si="126"/>
        <v>0.04264452356186564</v>
      </c>
      <c r="T179" s="5">
        <f t="shared" si="122"/>
        <v>291.448896401173</v>
      </c>
      <c r="U179" s="4">
        <f t="shared" si="108"/>
        <v>293.1691047676617</v>
      </c>
      <c r="V179" s="4">
        <f t="shared" si="86"/>
        <v>0.00809685057572245</v>
      </c>
      <c r="W179" s="4">
        <f>SUMPRODUCT($J$4:J179,$S$179:S$354)</f>
        <v>1.2268535023757257</v>
      </c>
      <c r="X179" s="6">
        <f t="shared" si="134"/>
        <v>0.24588593975287884</v>
      </c>
      <c r="Y179" s="4">
        <f t="shared" si="110"/>
        <v>1925</v>
      </c>
      <c r="Z179" s="4">
        <f t="shared" si="123"/>
        <v>175</v>
      </c>
      <c r="AA179" s="21">
        <f t="shared" si="111"/>
        <v>64.75</v>
      </c>
      <c r="AB179" s="6">
        <f t="shared" si="112"/>
        <v>171.0853745</v>
      </c>
      <c r="AC179" s="24">
        <f t="shared" si="87"/>
        <v>166.3673398210818</v>
      </c>
      <c r="AD179" s="4">
        <f t="shared" si="88"/>
        <v>6.937273413937072</v>
      </c>
      <c r="AE179" s="4">
        <f t="shared" si="89"/>
        <v>4.718034678918201</v>
      </c>
      <c r="AF179" s="6">
        <f t="shared" si="137"/>
        <v>1154.1357234882253</v>
      </c>
      <c r="AG179" s="30">
        <f t="shared" si="127"/>
        <v>0.24225211061192284</v>
      </c>
      <c r="AH179" s="21">
        <f t="shared" si="130"/>
        <v>0.4866665</v>
      </c>
      <c r="AI179" s="47">
        <f t="shared" si="113"/>
        <v>2.4616665</v>
      </c>
      <c r="AJ179" s="4">
        <f t="shared" si="90"/>
        <v>2.0963798366422846</v>
      </c>
      <c r="AK179" s="4">
        <f t="shared" si="91"/>
        <v>122.21004524259189</v>
      </c>
      <c r="AL179" s="4">
        <f t="shared" si="92"/>
        <v>0.36528666335771565</v>
      </c>
      <c r="AM179" s="5">
        <f t="shared" si="124"/>
        <v>256.198674681711</v>
      </c>
      <c r="AN179" s="26">
        <f t="shared" si="114"/>
        <v>-0.058345814733420834</v>
      </c>
      <c r="AO179" s="4">
        <f t="shared" si="93"/>
        <v>1.2404767958419265</v>
      </c>
      <c r="AP179" s="21">
        <f t="shared" si="135"/>
        <v>15</v>
      </c>
      <c r="AQ179" s="21">
        <f t="shared" si="131"/>
        <v>326.25</v>
      </c>
      <c r="AR179" s="21">
        <f t="shared" si="136"/>
        <v>50.5</v>
      </c>
      <c r="AS179" s="35">
        <f t="shared" si="94"/>
        <v>0.14414885219760648</v>
      </c>
      <c r="AT179" s="36">
        <f t="shared" si="95"/>
        <v>0.2154958184865999</v>
      </c>
      <c r="AU179" s="4">
        <f t="shared" si="96"/>
        <v>29.130190168959377</v>
      </c>
      <c r="AV179" s="4">
        <f t="shared" si="97"/>
        <v>0.17346798709629385</v>
      </c>
      <c r="AW179" s="4">
        <f t="shared" si="98"/>
        <v>0.012112605530596142</v>
      </c>
      <c r="AX179" s="21">
        <f t="shared" si="138"/>
        <v>17.625</v>
      </c>
      <c r="AY179" s="36">
        <f t="shared" si="99"/>
        <v>-0.10398230088495575</v>
      </c>
      <c r="AZ179" s="36">
        <f t="shared" si="100"/>
        <v>-0.2917033466102843</v>
      </c>
      <c r="BA179" s="36">
        <f t="shared" si="101"/>
        <v>-0.037500000000000006</v>
      </c>
      <c r="BB179" s="6">
        <f t="shared" si="115"/>
        <v>0.1821871807630308</v>
      </c>
      <c r="BC179" s="6">
        <f t="shared" si="125"/>
        <v>0.005520154961775159</v>
      </c>
      <c r="BD179" s="4">
        <f t="shared" si="116"/>
        <v>0.8051611380438713</v>
      </c>
      <c r="BE179" s="4">
        <f>SUMPRODUCT(BC$4:BC179,$BD$179:BD$354)</f>
        <v>0.10651488534824877</v>
      </c>
      <c r="BF179" s="23">
        <f t="shared" si="117"/>
        <v>0.10651488534824877</v>
      </c>
      <c r="BG179" s="48"/>
    </row>
    <row r="180" spans="5:59" ht="15">
      <c r="E180" s="1">
        <f t="shared" si="118"/>
        <v>176</v>
      </c>
      <c r="F180" s="1">
        <f t="shared" si="102"/>
        <v>1926</v>
      </c>
      <c r="G180" s="3">
        <f t="shared" si="132"/>
        <v>0.40700000000000014</v>
      </c>
      <c r="H180" s="3">
        <f t="shared" si="133"/>
        <v>0.18140000000000028</v>
      </c>
      <c r="I180" s="5">
        <f t="shared" si="103"/>
        <v>0.12728968504044402</v>
      </c>
      <c r="J180" s="5">
        <f t="shared" si="119"/>
        <v>0.19278820273096983</v>
      </c>
      <c r="K180" s="4">
        <f t="shared" si="104"/>
        <v>0.2683221122285866</v>
      </c>
      <c r="L180" s="4">
        <f t="shared" si="105"/>
        <v>0.000516913052797808</v>
      </c>
      <c r="M180" s="4">
        <f t="shared" si="85"/>
        <v>0.8069854423759965</v>
      </c>
      <c r="N180" s="4">
        <f t="shared" si="106"/>
        <v>0.0004171413085819659</v>
      </c>
      <c r="O180" s="4">
        <f>SUMPRODUCT($M$4:M180,L$178:$L$354)</f>
        <v>0.5367494410351338</v>
      </c>
      <c r="P180" s="4">
        <f t="shared" si="107"/>
        <v>0.2702360013408627</v>
      </c>
      <c r="Q180" s="4">
        <f t="shared" si="120"/>
        <v>7.781369175289133</v>
      </c>
      <c r="R180" s="4">
        <f t="shared" si="121"/>
        <v>10.376111818978828</v>
      </c>
      <c r="S180" s="4">
        <f t="shared" si="126"/>
        <v>0.04276058026293428</v>
      </c>
      <c r="T180" s="5">
        <f t="shared" si="122"/>
        <v>291.6873763043455</v>
      </c>
      <c r="U180" s="4">
        <f t="shared" si="108"/>
        <v>293.4340374210881</v>
      </c>
      <c r="V180" s="4">
        <f t="shared" si="86"/>
        <v>0.00824373541662448</v>
      </c>
      <c r="W180" s="4">
        <f>SUMPRODUCT($J$4:J180,$S$178:S$354)</f>
        <v>1.2507157838133398</v>
      </c>
      <c r="X180" s="6">
        <f t="shared" si="134"/>
        <v>0.2507184736766307</v>
      </c>
      <c r="Y180" s="4">
        <f t="shared" si="110"/>
        <v>1926</v>
      </c>
      <c r="Z180" s="4">
        <f t="shared" si="123"/>
        <v>176</v>
      </c>
      <c r="AA180" s="21">
        <f t="shared" si="111"/>
        <v>65.12</v>
      </c>
      <c r="AB180" s="6">
        <f t="shared" si="112"/>
        <v>171.4553745</v>
      </c>
      <c r="AC180" s="24">
        <f t="shared" si="87"/>
        <v>166.7225216707537</v>
      </c>
      <c r="AD180" s="4">
        <f t="shared" si="88"/>
        <v>6.950793129530912</v>
      </c>
      <c r="AE180" s="4">
        <f t="shared" si="89"/>
        <v>4.732852829246298</v>
      </c>
      <c r="AF180" s="6">
        <f t="shared" si="137"/>
        <v>1158.8537581671435</v>
      </c>
      <c r="AG180" s="30">
        <f t="shared" si="127"/>
        <v>0.24474936065133074</v>
      </c>
      <c r="AH180" s="21">
        <f t="shared" si="130"/>
        <v>0.50613316</v>
      </c>
      <c r="AI180" s="47">
        <f t="shared" si="113"/>
        <v>2.48113316</v>
      </c>
      <c r="AJ180" s="4">
        <f t="shared" si="90"/>
        <v>2.1002785393026895</v>
      </c>
      <c r="AK180" s="4">
        <f t="shared" si="91"/>
        <v>122.15711228009317</v>
      </c>
      <c r="AL180" s="4">
        <f t="shared" si="92"/>
        <v>0.3808546206973107</v>
      </c>
      <c r="AM180" s="5">
        <f t="shared" si="124"/>
        <v>256.5639613450687</v>
      </c>
      <c r="AN180" s="26">
        <f t="shared" si="114"/>
        <v>-0.05697700871395525</v>
      </c>
      <c r="AO180" s="4">
        <f t="shared" si="93"/>
        <v>1.2377907718332524</v>
      </c>
      <c r="AP180" s="21">
        <f t="shared" si="135"/>
        <v>15.200000000000001</v>
      </c>
      <c r="AQ180" s="21">
        <f t="shared" si="131"/>
        <v>333.5</v>
      </c>
      <c r="AR180" s="21">
        <f t="shared" si="136"/>
        <v>51.08</v>
      </c>
      <c r="AS180" s="35">
        <f t="shared" si="94"/>
        <v>0.14386847390860083</v>
      </c>
      <c r="AT180" s="36">
        <f t="shared" si="95"/>
        <v>0.21332815499823538</v>
      </c>
      <c r="AU180" s="4">
        <f t="shared" si="96"/>
        <v>29.18547719177757</v>
      </c>
      <c r="AV180" s="4">
        <f t="shared" si="97"/>
        <v>0.1757900420546579</v>
      </c>
      <c r="AW180" s="4">
        <f t="shared" si="98"/>
        <v>0.012237468032566538</v>
      </c>
      <c r="AX180" s="21">
        <f t="shared" si="138"/>
        <v>17.86</v>
      </c>
      <c r="AY180" s="36">
        <f t="shared" si="99"/>
        <v>-0.10536873156342184</v>
      </c>
      <c r="AZ180" s="36">
        <f t="shared" si="100"/>
        <v>-0.29497792760527447</v>
      </c>
      <c r="BA180" s="36">
        <f t="shared" si="101"/>
        <v>-0.03833333333333334</v>
      </c>
      <c r="BB180" s="6">
        <f t="shared" si="115"/>
        <v>0.18783834319920095</v>
      </c>
      <c r="BC180" s="6">
        <f t="shared" si="125"/>
        <v>0.005651162436170143</v>
      </c>
      <c r="BD180" s="4">
        <f t="shared" si="116"/>
        <v>0.8047175581229606</v>
      </c>
      <c r="BE180" s="4">
        <f>SUMPRODUCT(BC$4:BC180,$BD$178:BD$354)</f>
        <v>0.10929899782614527</v>
      </c>
      <c r="BF180" s="23">
        <f t="shared" si="117"/>
        <v>0.10929899782614527</v>
      </c>
      <c r="BG180" s="48"/>
    </row>
    <row r="181" spans="5:59" ht="15">
      <c r="E181" s="1">
        <f t="shared" si="118"/>
        <v>177</v>
      </c>
      <c r="F181" s="1">
        <f t="shared" si="102"/>
        <v>1927</v>
      </c>
      <c r="G181" s="3">
        <f t="shared" si="132"/>
        <v>0.41400000000000015</v>
      </c>
      <c r="H181" s="3">
        <f t="shared" si="133"/>
        <v>0.1828000000000003</v>
      </c>
      <c r="I181" s="5">
        <f t="shared" si="103"/>
        <v>0.129391641322507</v>
      </c>
      <c r="J181" s="5">
        <f t="shared" si="119"/>
        <v>0.19570949312015018</v>
      </c>
      <c r="K181" s="4">
        <f t="shared" si="104"/>
        <v>0.27169886555734324</v>
      </c>
      <c r="L181" s="4">
        <f t="shared" si="105"/>
        <v>0.0005222002268958596</v>
      </c>
      <c r="M181" s="4">
        <f t="shared" si="85"/>
        <v>0.8227245691554246</v>
      </c>
      <c r="N181" s="4">
        <f t="shared" si="106"/>
        <v>0.00042962695668576106</v>
      </c>
      <c r="O181" s="4">
        <f>SUMPRODUCT($M$4:M181,L$177:$L$354)</f>
        <v>0.5480261146277422</v>
      </c>
      <c r="P181" s="4">
        <f t="shared" si="107"/>
        <v>0.2746984545276824</v>
      </c>
      <c r="Q181" s="4">
        <f t="shared" si="120"/>
        <v>7.932716684075769</v>
      </c>
      <c r="R181" s="4">
        <f t="shared" si="121"/>
        <v>10.582656452302013</v>
      </c>
      <c r="S181" s="4">
        <f t="shared" si="126"/>
        <v>0.04287760756327534</v>
      </c>
      <c r="T181" s="5">
        <f t="shared" si="122"/>
        <v>291.9292315256481</v>
      </c>
      <c r="U181" s="4">
        <f t="shared" si="108"/>
        <v>293.70235953331667</v>
      </c>
      <c r="V181" s="4">
        <f t="shared" si="86"/>
        <v>0.008391554842413334</v>
      </c>
      <c r="W181" s="4">
        <f>SUMPRODUCT($J$4:J181,$S$177:S$354)</f>
        <v>1.2748029792186995</v>
      </c>
      <c r="X181" s="6">
        <f t="shared" si="134"/>
        <v>0.255608388210309</v>
      </c>
      <c r="Y181" s="4">
        <f t="shared" si="110"/>
        <v>1927</v>
      </c>
      <c r="Z181" s="4">
        <f t="shared" si="123"/>
        <v>177</v>
      </c>
      <c r="AA181" s="21">
        <f t="shared" si="111"/>
        <v>65.49</v>
      </c>
      <c r="AB181" s="6">
        <f t="shared" si="112"/>
        <v>171.8253745</v>
      </c>
      <c r="AC181" s="24">
        <f t="shared" si="87"/>
        <v>167.07807635287958</v>
      </c>
      <c r="AD181" s="4">
        <f t="shared" si="88"/>
        <v>6.964328512729704</v>
      </c>
      <c r="AE181" s="4">
        <f t="shared" si="89"/>
        <v>4.747298147120432</v>
      </c>
      <c r="AF181" s="6">
        <f t="shared" si="137"/>
        <v>1163.5866109963897</v>
      </c>
      <c r="AG181" s="30">
        <f t="shared" si="127"/>
        <v>0.24724935163564787</v>
      </c>
      <c r="AH181" s="21">
        <f t="shared" si="130"/>
        <v>0.52559982</v>
      </c>
      <c r="AI181" s="47">
        <f t="shared" si="113"/>
        <v>2.50059982</v>
      </c>
      <c r="AJ181" s="4">
        <f t="shared" si="90"/>
        <v>2.104300599695874</v>
      </c>
      <c r="AK181" s="4">
        <f t="shared" si="91"/>
        <v>122.10461566322854</v>
      </c>
      <c r="AL181" s="4">
        <f t="shared" si="92"/>
        <v>0.396299220304126</v>
      </c>
      <c r="AM181" s="5">
        <f t="shared" si="124"/>
        <v>256.94481596576605</v>
      </c>
      <c r="AN181" s="26">
        <f t="shared" si="114"/>
        <v>-0.05555090348773135</v>
      </c>
      <c r="AO181" s="4">
        <f t="shared" si="93"/>
        <v>1.2351120818571317</v>
      </c>
      <c r="AP181" s="21">
        <f t="shared" si="135"/>
        <v>15.4</v>
      </c>
      <c r="AQ181" s="21">
        <f t="shared" si="131"/>
        <v>340.75</v>
      </c>
      <c r="AR181" s="21">
        <f t="shared" si="136"/>
        <v>51.66</v>
      </c>
      <c r="AS181" s="35">
        <f t="shared" si="94"/>
        <v>0.14358886117622915</v>
      </c>
      <c r="AT181" s="36">
        <f t="shared" si="95"/>
        <v>0.2111617205021841</v>
      </c>
      <c r="AU181" s="4">
        <f t="shared" si="96"/>
        <v>29.240745011590874</v>
      </c>
      <c r="AV181" s="4">
        <f t="shared" si="97"/>
        <v>0.17811129048681673</v>
      </c>
      <c r="AW181" s="4">
        <f t="shared" si="98"/>
        <v>0.012362467581782395</v>
      </c>
      <c r="AX181" s="21">
        <f t="shared" si="138"/>
        <v>18.095</v>
      </c>
      <c r="AY181" s="36">
        <f t="shared" si="99"/>
        <v>-0.10675516224188791</v>
      </c>
      <c r="AZ181" s="36">
        <f t="shared" si="100"/>
        <v>-0.29823967831379683</v>
      </c>
      <c r="BA181" s="36">
        <f t="shared" si="101"/>
        <v>-0.03916666666666667</v>
      </c>
      <c r="BB181" s="6">
        <f t="shared" si="115"/>
        <v>0.19361908720447324</v>
      </c>
      <c r="BC181" s="6">
        <f t="shared" si="125"/>
        <v>0.005780744005272287</v>
      </c>
      <c r="BD181" s="4">
        <f t="shared" si="116"/>
        <v>0.8042729501685909</v>
      </c>
      <c r="BE181" s="4">
        <f>SUMPRODUCT(BC$4:BC181,$BD$177:BD$354)</f>
        <v>0.1121774897580256</v>
      </c>
      <c r="BF181" s="23">
        <f t="shared" si="117"/>
        <v>0.1121774897580256</v>
      </c>
      <c r="BG181" s="48"/>
    </row>
    <row r="182" spans="5:59" ht="15">
      <c r="E182" s="1">
        <f t="shared" si="118"/>
        <v>178</v>
      </c>
      <c r="F182" s="1">
        <f t="shared" si="102"/>
        <v>1928</v>
      </c>
      <c r="G182" s="3">
        <f t="shared" si="132"/>
        <v>0.42100000000000015</v>
      </c>
      <c r="H182" s="3">
        <f t="shared" si="133"/>
        <v>0.1842000000000003</v>
      </c>
      <c r="I182" s="5">
        <f t="shared" si="103"/>
        <v>0.13150432110319205</v>
      </c>
      <c r="J182" s="5">
        <f t="shared" si="119"/>
        <v>0.19863231478379317</v>
      </c>
      <c r="K182" s="4">
        <f t="shared" si="104"/>
        <v>0.2750633641130152</v>
      </c>
      <c r="L182" s="4">
        <f t="shared" si="105"/>
        <v>0.0005275452606371284</v>
      </c>
      <c r="M182" s="4">
        <f t="shared" si="85"/>
        <v>0.8386471233212297</v>
      </c>
      <c r="N182" s="4">
        <f t="shared" si="106"/>
        <v>0.00044242431525507613</v>
      </c>
      <c r="O182" s="4">
        <f>SUMPRODUCT($M$4:M182,L$176:$L$354)</f>
        <v>0.559463449619153</v>
      </c>
      <c r="P182" s="4">
        <f t="shared" si="107"/>
        <v>0.27918367370207675</v>
      </c>
      <c r="Q182" s="4">
        <f t="shared" si="120"/>
        <v>8.08549071902247</v>
      </c>
      <c r="R182" s="4">
        <f t="shared" si="121"/>
        <v>10.79133447260406</v>
      </c>
      <c r="S182" s="4">
        <f t="shared" si="126"/>
        <v>0.04299561737309895</v>
      </c>
      <c r="T182" s="5">
        <f t="shared" si="122"/>
        <v>292.17444962693287</v>
      </c>
      <c r="U182" s="4">
        <f t="shared" si="108"/>
        <v>293.97405839887404</v>
      </c>
      <c r="V182" s="4">
        <f t="shared" si="86"/>
        <v>0.008540319004376917</v>
      </c>
      <c r="W182" s="4">
        <f>SUMPRODUCT($J$4:J182,$S$176:S$354)</f>
        <v>1.2991125562583503</v>
      </c>
      <c r="X182" s="6">
        <f t="shared" si="134"/>
        <v>0.2605552909273275</v>
      </c>
      <c r="Y182" s="4">
        <f t="shared" si="110"/>
        <v>1928</v>
      </c>
      <c r="Z182" s="4">
        <f t="shared" si="123"/>
        <v>178</v>
      </c>
      <c r="AA182" s="21">
        <f t="shared" si="111"/>
        <v>65.86</v>
      </c>
      <c r="AB182" s="6">
        <f t="shared" si="112"/>
        <v>172.1953745</v>
      </c>
      <c r="AC182" s="24">
        <f t="shared" si="87"/>
        <v>167.43396247904747</v>
      </c>
      <c r="AD182" s="4">
        <f t="shared" si="88"/>
        <v>6.977878871436936</v>
      </c>
      <c r="AE182" s="4">
        <f t="shared" si="89"/>
        <v>4.761412020952548</v>
      </c>
      <c r="AF182" s="6">
        <f t="shared" si="137"/>
        <v>1168.33390914351</v>
      </c>
      <c r="AG182" s="30">
        <f t="shared" si="127"/>
        <v>0.2497518705215748</v>
      </c>
      <c r="AH182" s="21">
        <f t="shared" si="130"/>
        <v>0.54506648</v>
      </c>
      <c r="AI182" s="47">
        <f t="shared" si="113"/>
        <v>2.52006648</v>
      </c>
      <c r="AJ182" s="4">
        <f t="shared" si="90"/>
        <v>2.1084452432617646</v>
      </c>
      <c r="AK182" s="4">
        <f t="shared" si="91"/>
        <v>122.05254843989378</v>
      </c>
      <c r="AL182" s="4">
        <f t="shared" si="92"/>
        <v>0.4116212367382355</v>
      </c>
      <c r="AM182" s="5">
        <f t="shared" si="124"/>
        <v>257.34111518607017</v>
      </c>
      <c r="AN182" s="26">
        <f t="shared" si="114"/>
        <v>-0.05406808778528628</v>
      </c>
      <c r="AO182" s="4">
        <f t="shared" si="93"/>
        <v>1.232440837449654</v>
      </c>
      <c r="AP182" s="21">
        <f t="shared" si="135"/>
        <v>15.600000000000001</v>
      </c>
      <c r="AQ182" s="21">
        <f t="shared" si="131"/>
        <v>348</v>
      </c>
      <c r="AR182" s="21">
        <f t="shared" si="136"/>
        <v>52.239999999999995</v>
      </c>
      <c r="AS182" s="35">
        <f t="shared" si="94"/>
        <v>0.14331002564308953</v>
      </c>
      <c r="AT182" s="36">
        <f t="shared" si="95"/>
        <v>0.20899662371332572</v>
      </c>
      <c r="AU182" s="4">
        <f t="shared" si="96"/>
        <v>29.295991929729286</v>
      </c>
      <c r="AV182" s="4">
        <f t="shared" si="97"/>
        <v>0.18043166104863004</v>
      </c>
      <c r="AW182" s="4">
        <f t="shared" si="98"/>
        <v>0.012487593526078741</v>
      </c>
      <c r="AX182" s="21">
        <f t="shared" si="138"/>
        <v>18.33</v>
      </c>
      <c r="AY182" s="36">
        <f t="shared" si="99"/>
        <v>-0.10814159292035397</v>
      </c>
      <c r="AZ182" s="36">
        <f t="shared" si="100"/>
        <v>-0.3014886988854493</v>
      </c>
      <c r="BA182" s="36">
        <f t="shared" si="101"/>
        <v>-0.04000000000000001</v>
      </c>
      <c r="BB182" s="6">
        <f t="shared" si="115"/>
        <v>0.19952803643252157</v>
      </c>
      <c r="BC182" s="6">
        <f t="shared" si="125"/>
        <v>0.005908949228048327</v>
      </c>
      <c r="BD182" s="4">
        <f t="shared" si="116"/>
        <v>0.8038273104932485</v>
      </c>
      <c r="BE182" s="4">
        <f>SUMPRODUCT(BC$4:BC182,$BD$176:BD$354)</f>
        <v>0.11515050941114764</v>
      </c>
      <c r="BF182" s="23">
        <f t="shared" si="117"/>
        <v>0.11515050941114764</v>
      </c>
      <c r="BG182" s="48"/>
    </row>
    <row r="183" spans="5:59" ht="15">
      <c r="E183" s="1">
        <f t="shared" si="118"/>
        <v>179</v>
      </c>
      <c r="F183" s="1">
        <f t="shared" si="102"/>
        <v>1929</v>
      </c>
      <c r="G183" s="3">
        <f t="shared" si="132"/>
        <v>0.42800000000000016</v>
      </c>
      <c r="H183" s="3">
        <f t="shared" si="133"/>
        <v>0.18560000000000032</v>
      </c>
      <c r="I183" s="5">
        <f t="shared" si="103"/>
        <v>0.13362731593191463</v>
      </c>
      <c r="J183" s="5">
        <f t="shared" si="119"/>
        <v>0.2015565318561958</v>
      </c>
      <c r="K183" s="4">
        <f t="shared" si="104"/>
        <v>0.2784161522118901</v>
      </c>
      <c r="L183" s="4">
        <f t="shared" si="105"/>
        <v>0.0005329489776566594</v>
      </c>
      <c r="M183" s="4">
        <f t="shared" si="85"/>
        <v>0.854751865993788</v>
      </c>
      <c r="N183" s="4">
        <f t="shared" si="106"/>
        <v>0.00045553913313151127</v>
      </c>
      <c r="O183" s="4">
        <f>SUMPRODUCT($M$4:M183,L$175:$L$354)</f>
        <v>0.5710610742703333</v>
      </c>
      <c r="P183" s="4">
        <f t="shared" si="107"/>
        <v>0.2836907917234548</v>
      </c>
      <c r="Q183" s="4">
        <f t="shared" si="120"/>
        <v>8.239675218699372</v>
      </c>
      <c r="R183" s="4">
        <f t="shared" si="121"/>
        <v>11.002129372941814</v>
      </c>
      <c r="S183" s="4">
        <f t="shared" si="126"/>
        <v>0.043114621813369114</v>
      </c>
      <c r="T183" s="5">
        <f t="shared" si="122"/>
        <v>292.4230195843699</v>
      </c>
      <c r="U183" s="4">
        <f t="shared" si="108"/>
        <v>294.24912176298704</v>
      </c>
      <c r="V183" s="4">
        <f t="shared" si="86"/>
        <v>0.008690033644994166</v>
      </c>
      <c r="W183" s="4">
        <f>SUMPRODUCT($J$4:J183,$S$175:S$354)</f>
        <v>1.3236420263634976</v>
      </c>
      <c r="X183" s="6">
        <f t="shared" si="134"/>
        <v>0.26555879692606077</v>
      </c>
      <c r="Y183" s="4">
        <f t="shared" si="110"/>
        <v>1929</v>
      </c>
      <c r="Z183" s="4">
        <f t="shared" si="123"/>
        <v>179</v>
      </c>
      <c r="AA183" s="21">
        <f t="shared" si="111"/>
        <v>66.23</v>
      </c>
      <c r="AB183" s="6">
        <f t="shared" si="112"/>
        <v>172.56537450000002</v>
      </c>
      <c r="AC183" s="24">
        <f t="shared" si="87"/>
        <v>167.79014318363642</v>
      </c>
      <c r="AD183" s="4">
        <f t="shared" si="88"/>
        <v>6.991443590822728</v>
      </c>
      <c r="AE183" s="4">
        <f t="shared" si="89"/>
        <v>4.775231316363602</v>
      </c>
      <c r="AF183" s="6">
        <f t="shared" si="137"/>
        <v>1173.0953211644626</v>
      </c>
      <c r="AG183" s="30">
        <f t="shared" si="127"/>
        <v>0.2522567277301856</v>
      </c>
      <c r="AH183" s="21">
        <f t="shared" si="130"/>
        <v>0.56453314</v>
      </c>
      <c r="AI183" s="47">
        <f t="shared" si="113"/>
        <v>2.53953314</v>
      </c>
      <c r="AJ183" s="4">
        <f t="shared" si="90"/>
        <v>2.1127116959737715</v>
      </c>
      <c r="AK183" s="4">
        <f t="shared" si="91"/>
        <v>122.00090382138364</v>
      </c>
      <c r="AL183" s="4">
        <f t="shared" si="92"/>
        <v>0.42682144402622857</v>
      </c>
      <c r="AM183" s="5">
        <f t="shared" si="124"/>
        <v>257.7527364228084</v>
      </c>
      <c r="AN183" s="26">
        <f t="shared" si="114"/>
        <v>-0.052529150672785074</v>
      </c>
      <c r="AO183" s="4">
        <f t="shared" si="93"/>
        <v>1.2297771329844178</v>
      </c>
      <c r="AP183" s="21">
        <f t="shared" si="135"/>
        <v>15.8</v>
      </c>
      <c r="AQ183" s="21">
        <f t="shared" si="131"/>
        <v>355.25</v>
      </c>
      <c r="AR183" s="21">
        <f t="shared" si="136"/>
        <v>52.82</v>
      </c>
      <c r="AS183" s="35">
        <f t="shared" si="94"/>
        <v>0.14303197716028823</v>
      </c>
      <c r="AT183" s="36">
        <f t="shared" si="95"/>
        <v>0.20683296027135123</v>
      </c>
      <c r="AU183" s="4">
        <f t="shared" si="96"/>
        <v>29.35121645182264</v>
      </c>
      <c r="AV183" s="4">
        <f t="shared" si="97"/>
        <v>0.18275109097655093</v>
      </c>
      <c r="AW183" s="4">
        <f t="shared" si="98"/>
        <v>0.012612836386509282</v>
      </c>
      <c r="AX183" s="21">
        <f t="shared" si="138"/>
        <v>18.564999999999998</v>
      </c>
      <c r="AY183" s="36">
        <f t="shared" si="99"/>
        <v>-0.10952802359882007</v>
      </c>
      <c r="AZ183" s="36">
        <f t="shared" si="100"/>
        <v>-0.3047250883017785</v>
      </c>
      <c r="BA183" s="36">
        <f t="shared" si="101"/>
        <v>-0.04083333333333333</v>
      </c>
      <c r="BB183" s="6">
        <f t="shared" si="115"/>
        <v>0.20556385611258954</v>
      </c>
      <c r="BC183" s="6">
        <f t="shared" si="125"/>
        <v>0.006035819680067972</v>
      </c>
      <c r="BD183" s="4">
        <f t="shared" si="116"/>
        <v>0.8033806353040617</v>
      </c>
      <c r="BE183" s="4">
        <f>SUMPRODUCT(BC$4:BC183,$BD$175:BD$354)</f>
        <v>0.11821813366555818</v>
      </c>
      <c r="BF183" s="23">
        <f t="shared" si="117"/>
        <v>0.11821813366555818</v>
      </c>
      <c r="BG183" s="48"/>
    </row>
    <row r="184" spans="5:59" ht="15">
      <c r="E184" s="1">
        <f t="shared" si="118"/>
        <v>180</v>
      </c>
      <c r="F184" s="1">
        <f t="shared" si="102"/>
        <v>1930</v>
      </c>
      <c r="G184" s="3">
        <f t="shared" si="132"/>
        <v>0.43500000000000016</v>
      </c>
      <c r="H184" s="3">
        <f t="shared" si="133"/>
        <v>0.18700000000000033</v>
      </c>
      <c r="I184" s="5">
        <f t="shared" si="103"/>
        <v>0.13576023295934597</v>
      </c>
      <c r="J184" s="5">
        <f t="shared" si="119"/>
        <v>0.20448211897364266</v>
      </c>
      <c r="K184" s="4">
        <f t="shared" si="104"/>
        <v>0.2817576480670119</v>
      </c>
      <c r="L184" s="4">
        <f t="shared" si="105"/>
        <v>0.0005384122222817426</v>
      </c>
      <c r="M184" s="4">
        <f t="shared" si="85"/>
        <v>0.8710375879891505</v>
      </c>
      <c r="N184" s="4">
        <f t="shared" si="106"/>
        <v>0.0004689772834401675</v>
      </c>
      <c r="O184" s="4">
        <f>SUMPRODUCT($M$4:M184,L$174:$L$354)</f>
        <v>0.582818613416459</v>
      </c>
      <c r="P184" s="4">
        <f t="shared" si="107"/>
        <v>0.2882189745726915</v>
      </c>
      <c r="Q184" s="4">
        <f t="shared" si="120"/>
        <v>8.395254399255775</v>
      </c>
      <c r="R184" s="4">
        <f t="shared" si="121"/>
        <v>11.215025006935925</v>
      </c>
      <c r="S184" s="4">
        <f t="shared" si="126"/>
        <v>0.04323463322159997</v>
      </c>
      <c r="T184" s="5">
        <f t="shared" si="122"/>
        <v>292.67492991729773</v>
      </c>
      <c r="U184" s="4">
        <f t="shared" si="108"/>
        <v>294.52753791519893</v>
      </c>
      <c r="V184" s="4">
        <f t="shared" si="86"/>
        <v>0.008840709414201009</v>
      </c>
      <c r="W184" s="4">
        <f>SUMPRODUCT($J$4:J184,$S$174:S$354)</f>
        <v>1.348389091572242</v>
      </c>
      <c r="X184" s="6">
        <f t="shared" si="134"/>
        <v>0.27061853053089174</v>
      </c>
      <c r="Y184" s="4">
        <f t="shared" si="110"/>
        <v>1930</v>
      </c>
      <c r="Z184" s="4">
        <f t="shared" si="123"/>
        <v>180</v>
      </c>
      <c r="AA184" s="21">
        <f t="shared" si="111"/>
        <v>66.6</v>
      </c>
      <c r="AB184" s="6">
        <f t="shared" si="112"/>
        <v>172.9353745</v>
      </c>
      <c r="AC184" s="24">
        <f t="shared" si="87"/>
        <v>168.14658562243122</v>
      </c>
      <c r="AD184" s="4">
        <f t="shared" si="88"/>
        <v>7.005022124717439</v>
      </c>
      <c r="AE184" s="4">
        <f t="shared" si="89"/>
        <v>4.788788877568777</v>
      </c>
      <c r="AF184" s="6">
        <f t="shared" si="137"/>
        <v>1177.870552480826</v>
      </c>
      <c r="AG184" s="30">
        <f t="shared" si="127"/>
        <v>0.25476375454096195</v>
      </c>
      <c r="AH184" s="21">
        <f t="shared" si="130"/>
        <v>0.5839998</v>
      </c>
      <c r="AI184" s="47">
        <f t="shared" si="113"/>
        <v>2.5589998</v>
      </c>
      <c r="AJ184" s="4">
        <f t="shared" si="90"/>
        <v>2.1170991844906735</v>
      </c>
      <c r="AK184" s="4">
        <f t="shared" si="91"/>
        <v>121.94967517733322</v>
      </c>
      <c r="AL184" s="4">
        <f t="shared" si="92"/>
        <v>0.4419006155093266</v>
      </c>
      <c r="AM184" s="5">
        <f t="shared" si="124"/>
        <v>258.17955786683467</v>
      </c>
      <c r="AN184" s="26">
        <f t="shared" si="114"/>
        <v>-0.05093468138036783</v>
      </c>
      <c r="AO184" s="4">
        <f t="shared" si="93"/>
        <v>1.2271210476706575</v>
      </c>
      <c r="AP184" s="21">
        <f t="shared" si="135"/>
        <v>16</v>
      </c>
      <c r="AQ184" s="21">
        <f t="shared" si="131"/>
        <v>362.5</v>
      </c>
      <c r="AR184" s="21">
        <f t="shared" si="136"/>
        <v>53.4</v>
      </c>
      <c r="AS184" s="35">
        <f t="shared" si="94"/>
        <v>0.14275472399601263</v>
      </c>
      <c r="AT184" s="36">
        <f t="shared" si="95"/>
        <v>0.20467081422117095</v>
      </c>
      <c r="AU184" s="4">
        <f t="shared" si="96"/>
        <v>29.4064172646692</v>
      </c>
      <c r="AV184" s="4">
        <f t="shared" si="97"/>
        <v>0.18506952511610647</v>
      </c>
      <c r="AW184" s="4">
        <f t="shared" si="98"/>
        <v>0.012738187727048097</v>
      </c>
      <c r="AX184" s="21">
        <f t="shared" si="138"/>
        <v>18.799999999999997</v>
      </c>
      <c r="AY184" s="36">
        <f t="shared" si="99"/>
        <v>-0.11091445427728613</v>
      </c>
      <c r="AZ184" s="36">
        <f t="shared" si="100"/>
        <v>-0.30794894439437287</v>
      </c>
      <c r="BA184" s="36">
        <f t="shared" si="101"/>
        <v>-0.04166666666666667</v>
      </c>
      <c r="BB184" s="6">
        <f t="shared" si="115"/>
        <v>0.21172525119631475</v>
      </c>
      <c r="BC184" s="6">
        <f t="shared" si="125"/>
        <v>0.006161395083725207</v>
      </c>
      <c r="BD184" s="4">
        <f t="shared" si="116"/>
        <v>0.8029329206955872</v>
      </c>
      <c r="BE184" s="4">
        <f>SUMPRODUCT(BC$4:BC184,$BD$174:BD$354)</f>
        <v>0.1213803747409007</v>
      </c>
      <c r="BF184" s="23">
        <f t="shared" si="117"/>
        <v>0.1213803747409007</v>
      </c>
      <c r="BG184" s="48"/>
    </row>
    <row r="185" spans="5:59" ht="15">
      <c r="E185" s="1">
        <f t="shared" si="118"/>
        <v>181</v>
      </c>
      <c r="F185" s="1">
        <f t="shared" si="102"/>
        <v>1931</v>
      </c>
      <c r="G185" s="3">
        <f t="shared" si="132"/>
        <v>0.44200000000000017</v>
      </c>
      <c r="H185" s="3">
        <f t="shared" si="133"/>
        <v>0.18840000000000034</v>
      </c>
      <c r="I185" s="5">
        <f t="shared" si="103"/>
        <v>0.13790269157403137</v>
      </c>
      <c r="J185" s="5">
        <f t="shared" si="119"/>
        <v>0.20740899700360094</v>
      </c>
      <c r="K185" s="4">
        <f t="shared" si="104"/>
        <v>0.28508831142236823</v>
      </c>
      <c r="L185" s="4">
        <f t="shared" si="105"/>
        <v>0.0005439358603763843</v>
      </c>
      <c r="M185" s="4">
        <f t="shared" si="85"/>
        <v>0.8875031024242328</v>
      </c>
      <c r="N185" s="4">
        <f t="shared" si="106"/>
        <v>0.00048274476360383545</v>
      </c>
      <c r="O185" s="4">
        <f>SUMPRODUCT($M$4:M185,L$173:$L$354)</f>
        <v>0.5947356882125642</v>
      </c>
      <c r="P185" s="4">
        <f t="shared" si="107"/>
        <v>0.29276741421166863</v>
      </c>
      <c r="Q185" s="4">
        <f t="shared" si="120"/>
        <v>8.552213685773117</v>
      </c>
      <c r="R185" s="4">
        <f t="shared" si="121"/>
        <v>11.430006865015908</v>
      </c>
      <c r="S185" s="4">
        <f t="shared" si="126"/>
        <v>0.0433556641578894</v>
      </c>
      <c r="T185" s="5">
        <f t="shared" si="122"/>
        <v>292.9301700504133</v>
      </c>
      <c r="U185" s="4">
        <f t="shared" si="108"/>
        <v>294.80929556326595</v>
      </c>
      <c r="V185" s="4">
        <f t="shared" si="86"/>
        <v>0.00899235481741281</v>
      </c>
      <c r="W185" s="4">
        <f>SUMPRODUCT($J$4:J185,$S$173:S$354)</f>
        <v>1.373351519838966</v>
      </c>
      <c r="X185" s="6">
        <f t="shared" si="134"/>
        <v>0.2757341229947529</v>
      </c>
      <c r="Y185" s="4">
        <f t="shared" si="110"/>
        <v>1931</v>
      </c>
      <c r="Z185" s="4">
        <f t="shared" si="123"/>
        <v>181</v>
      </c>
      <c r="AA185" s="21">
        <f t="shared" si="111"/>
        <v>66.97</v>
      </c>
      <c r="AB185" s="6">
        <f t="shared" si="112"/>
        <v>173.3053745</v>
      </c>
      <c r="AC185" s="24">
        <f t="shared" si="87"/>
        <v>168.5032605275855</v>
      </c>
      <c r="AD185" s="4">
        <f t="shared" si="88"/>
        <v>7.018613987975519</v>
      </c>
      <c r="AE185" s="4">
        <f t="shared" si="89"/>
        <v>4.802113972414503</v>
      </c>
      <c r="AF185" s="6">
        <f t="shared" si="137"/>
        <v>1182.6593413583948</v>
      </c>
      <c r="AG185" s="30">
        <f t="shared" si="127"/>
        <v>0.257272800779023</v>
      </c>
      <c r="AH185" s="21">
        <f t="shared" si="130"/>
        <v>0.60346646</v>
      </c>
      <c r="AI185" s="47">
        <f t="shared" si="113"/>
        <v>2.57846646</v>
      </c>
      <c r="AJ185" s="4">
        <f t="shared" si="90"/>
        <v>2.1216069363020633</v>
      </c>
      <c r="AK185" s="4">
        <f t="shared" si="91"/>
        <v>121.89885603085285</v>
      </c>
      <c r="AL185" s="4">
        <f t="shared" si="92"/>
        <v>0.4568595236979367</v>
      </c>
      <c r="AM185" s="5">
        <f t="shared" si="124"/>
        <v>258.621458482344</v>
      </c>
      <c r="AN185" s="26">
        <f t="shared" si="114"/>
        <v>-0.049285269133595905</v>
      </c>
      <c r="AO185" s="4">
        <f t="shared" si="93"/>
        <v>1.2244726473194096</v>
      </c>
      <c r="AP185" s="21">
        <f t="shared" si="135"/>
        <v>16.2</v>
      </c>
      <c r="AQ185" s="21">
        <f t="shared" si="131"/>
        <v>369.75</v>
      </c>
      <c r="AR185" s="21">
        <f t="shared" si="136"/>
        <v>53.98</v>
      </c>
      <c r="AS185" s="35">
        <f t="shared" si="94"/>
        <v>0.14247827301989072</v>
      </c>
      <c r="AT185" s="36">
        <f t="shared" si="95"/>
        <v>0.20251025932425876</v>
      </c>
      <c r="AU185" s="4">
        <f t="shared" si="96"/>
        <v>29.461593215745953</v>
      </c>
      <c r="AV185" s="4">
        <f t="shared" si="97"/>
        <v>0.18738691506133004</v>
      </c>
      <c r="AW185" s="4">
        <f t="shared" si="98"/>
        <v>0.01286364003895115</v>
      </c>
      <c r="AX185" s="21">
        <f t="shared" si="138"/>
        <v>19.035</v>
      </c>
      <c r="AY185" s="36">
        <f t="shared" si="99"/>
        <v>-0.11230088495575222</v>
      </c>
      <c r="AZ185" s="36">
        <f t="shared" si="100"/>
        <v>-0.3111603638626066</v>
      </c>
      <c r="BA185" s="36">
        <f t="shared" si="101"/>
        <v>-0.0425</v>
      </c>
      <c r="BB185" s="6">
        <f t="shared" si="115"/>
        <v>0.21801096092210237</v>
      </c>
      <c r="BC185" s="6">
        <f t="shared" si="125"/>
        <v>0.006285709725787625</v>
      </c>
      <c r="BD185" s="4">
        <f t="shared" si="116"/>
        <v>0.8024841626420797</v>
      </c>
      <c r="BE185" s="4">
        <f>SUMPRODUCT(BC$4:BC185,$BD$173:BD$354)</f>
        <v>0.12463718638437808</v>
      </c>
      <c r="BF185" s="23">
        <f t="shared" si="117"/>
        <v>0.12463718638437808</v>
      </c>
      <c r="BG185" s="48"/>
    </row>
    <row r="186" spans="5:59" ht="15">
      <c r="E186" s="1">
        <f t="shared" si="118"/>
        <v>182</v>
      </c>
      <c r="F186" s="1">
        <f t="shared" si="102"/>
        <v>1932</v>
      </c>
      <c r="G186" s="3">
        <f t="shared" si="132"/>
        <v>0.4490000000000002</v>
      </c>
      <c r="H186" s="3">
        <f t="shared" si="133"/>
        <v>0.18980000000000036</v>
      </c>
      <c r="I186" s="5">
        <f t="shared" si="103"/>
        <v>0.14005432472174914</v>
      </c>
      <c r="J186" s="5">
        <f t="shared" si="119"/>
        <v>0.21033714916323948</v>
      </c>
      <c r="K186" s="4">
        <f t="shared" si="104"/>
        <v>0.28840852611501183</v>
      </c>
      <c r="L186" s="4">
        <f t="shared" si="105"/>
        <v>0.0005495207802268969</v>
      </c>
      <c r="M186" s="4">
        <f t="shared" si="85"/>
        <v>0.9041472471414438</v>
      </c>
      <c r="N186" s="4">
        <f t="shared" si="106"/>
        <v>0.0004968477006891672</v>
      </c>
      <c r="O186" s="4">
        <f>SUMPRODUCT($M$4:M186,L$172:$L$354)</f>
        <v>0.6068119157571703</v>
      </c>
      <c r="P186" s="4">
        <f t="shared" si="107"/>
        <v>0.2973353313842735</v>
      </c>
      <c r="Q186" s="4">
        <f t="shared" si="120"/>
        <v>8.710538921409576</v>
      </c>
      <c r="R186" s="4">
        <f t="shared" si="121"/>
        <v>11.647060995728898</v>
      </c>
      <c r="S186" s="4">
        <f t="shared" si="126"/>
        <v>0.04347772741120224</v>
      </c>
      <c r="T186" s="5">
        <f t="shared" si="122"/>
        <v>293.1887293032694</v>
      </c>
      <c r="U186" s="4">
        <f t="shared" si="108"/>
        <v>295.09438387468833</v>
      </c>
      <c r="V186" s="4">
        <f t="shared" si="86"/>
        <v>0.009144981235768712</v>
      </c>
      <c r="W186" s="4">
        <f>SUMPRODUCT($J$4:J186,$S$172:S$354)</f>
        <v>1.3985272210809316</v>
      </c>
      <c r="X186" s="6">
        <f t="shared" si="134"/>
        <v>0.280905213252423</v>
      </c>
      <c r="Y186" s="4">
        <f t="shared" si="110"/>
        <v>1932</v>
      </c>
      <c r="Z186" s="4">
        <f t="shared" si="123"/>
        <v>182</v>
      </c>
      <c r="AA186" s="21">
        <f t="shared" si="111"/>
        <v>67.34</v>
      </c>
      <c r="AB186" s="6">
        <f t="shared" si="112"/>
        <v>173.6753745</v>
      </c>
      <c r="AC186" s="24">
        <f t="shared" si="87"/>
        <v>168.86014181251895</v>
      </c>
      <c r="AD186" s="4">
        <f t="shared" si="88"/>
        <v>7.03221874969889</v>
      </c>
      <c r="AE186" s="4">
        <f t="shared" si="89"/>
        <v>4.815232687481057</v>
      </c>
      <c r="AF186" s="6">
        <f t="shared" si="137"/>
        <v>1187.4614553308093</v>
      </c>
      <c r="AG186" s="30">
        <f t="shared" si="127"/>
        <v>0.25978373276215605</v>
      </c>
      <c r="AH186" s="21">
        <f t="shared" si="130"/>
        <v>0.62293312</v>
      </c>
      <c r="AI186" s="47">
        <f t="shared" si="113"/>
        <v>2.59793312</v>
      </c>
      <c r="AJ186" s="4">
        <f t="shared" si="90"/>
        <v>2.1262341798676103</v>
      </c>
      <c r="AK186" s="4">
        <f t="shared" si="91"/>
        <v>121.84844005384834</v>
      </c>
      <c r="AL186" s="4">
        <f t="shared" si="92"/>
        <v>0.47169894013238967</v>
      </c>
      <c r="AM186" s="5">
        <f t="shared" si="124"/>
        <v>259.0783180060419</v>
      </c>
      <c r="AN186" s="26">
        <f t="shared" si="114"/>
        <v>-0.047581502988060576</v>
      </c>
      <c r="AO186" s="4">
        <f t="shared" si="93"/>
        <v>1.221831985904896</v>
      </c>
      <c r="AP186" s="21">
        <f t="shared" si="135"/>
        <v>16.400000000000002</v>
      </c>
      <c r="AQ186" s="21">
        <f t="shared" si="131"/>
        <v>377</v>
      </c>
      <c r="AR186" s="21">
        <f t="shared" si="136"/>
        <v>54.559999999999995</v>
      </c>
      <c r="AS186" s="35">
        <f t="shared" si="94"/>
        <v>0.1422026298659749</v>
      </c>
      <c r="AT186" s="36">
        <f t="shared" si="95"/>
        <v>0.2003513602204494</v>
      </c>
      <c r="AU186" s="4">
        <f t="shared" si="96"/>
        <v>29.516743295055473</v>
      </c>
      <c r="AV186" s="4">
        <f t="shared" si="97"/>
        <v>0.1897032183923299</v>
      </c>
      <c r="AW186" s="4">
        <f t="shared" si="98"/>
        <v>0.012989186638107804</v>
      </c>
      <c r="AX186" s="21">
        <f t="shared" si="138"/>
        <v>19.27</v>
      </c>
      <c r="AY186" s="36">
        <f t="shared" si="99"/>
        <v>-0.1136873156342183</v>
      </c>
      <c r="AZ186" s="36">
        <f t="shared" si="100"/>
        <v>-0.314359442291045</v>
      </c>
      <c r="BA186" s="36">
        <f t="shared" si="101"/>
        <v>-0.043333333333333335</v>
      </c>
      <c r="BB186" s="6">
        <f t="shared" si="115"/>
        <v>0.22441975679835957</v>
      </c>
      <c r="BC186" s="6">
        <f t="shared" si="125"/>
        <v>0.006408795876257201</v>
      </c>
      <c r="BD186" s="4">
        <f t="shared" si="116"/>
        <v>0.8020343569892064</v>
      </c>
      <c r="BE186" s="4">
        <f>SUMPRODUCT(BC$4:BC186,$BD$172:BD$354)</f>
        <v>0.12798846938293607</v>
      </c>
      <c r="BF186" s="23">
        <f t="shared" si="117"/>
        <v>0.12798846938293607</v>
      </c>
      <c r="BG186" s="48"/>
    </row>
    <row r="187" spans="5:59" ht="15">
      <c r="E187" s="1">
        <f t="shared" si="118"/>
        <v>183</v>
      </c>
      <c r="F187" s="1">
        <f t="shared" si="102"/>
        <v>1933</v>
      </c>
      <c r="G187" s="3">
        <f t="shared" si="132"/>
        <v>0.4560000000000002</v>
      </c>
      <c r="H187" s="3">
        <f t="shared" si="133"/>
        <v>0.19120000000000037</v>
      </c>
      <c r="I187" s="5">
        <f t="shared" si="103"/>
        <v>0.14221477688646925</v>
      </c>
      <c r="J187" s="5">
        <f t="shared" si="119"/>
        <v>0.21326653184176655</v>
      </c>
      <c r="K187" s="4">
        <f t="shared" si="104"/>
        <v>0.29171869127176475</v>
      </c>
      <c r="L187" s="4">
        <f t="shared" si="105"/>
        <v>0.0005551678934706991</v>
      </c>
      <c r="M187" s="4">
        <f t="shared" si="85"/>
        <v>0.9209688802686223</v>
      </c>
      <c r="N187" s="4">
        <f t="shared" si="106"/>
        <v>0.0005112923532107996</v>
      </c>
      <c r="O187" s="4">
        <f>SUMPRODUCT($M$4:M187,L$171:$L$354)</f>
        <v>0.6190469089386481</v>
      </c>
      <c r="P187" s="4">
        <f t="shared" si="107"/>
        <v>0.3019219713299742</v>
      </c>
      <c r="Q187" s="4">
        <f t="shared" si="120"/>
        <v>8.870216849728783</v>
      </c>
      <c r="R187" s="4">
        <f t="shared" si="121"/>
        <v>11.866174669074038</v>
      </c>
      <c r="S187" s="4">
        <f t="shared" si="126"/>
        <v>0.043600836005915466</v>
      </c>
      <c r="T187" s="5">
        <f t="shared" si="122"/>
        <v>293.45059762231693</v>
      </c>
      <c r="U187" s="4">
        <f t="shared" si="108"/>
        <v>295.38279240080334</v>
      </c>
      <c r="V187" s="4">
        <f t="shared" si="86"/>
        <v>0.009298599080383213</v>
      </c>
      <c r="W187" s="4">
        <f>SUMPRODUCT($J$4:J187,$S$171:S$354)</f>
        <v>1.4239141770802024</v>
      </c>
      <c r="X187" s="6">
        <f t="shared" si="134"/>
        <v>0.2861314465410644</v>
      </c>
      <c r="Y187" s="4">
        <f t="shared" si="110"/>
        <v>1933</v>
      </c>
      <c r="Z187" s="4">
        <f t="shared" si="123"/>
        <v>183</v>
      </c>
      <c r="AA187" s="21">
        <f t="shared" si="111"/>
        <v>67.71</v>
      </c>
      <c r="AB187" s="6">
        <f t="shared" si="112"/>
        <v>174.04537449999998</v>
      </c>
      <c r="AC187" s="24">
        <f t="shared" si="87"/>
        <v>169.21720622107335</v>
      </c>
      <c r="AD187" s="4">
        <f t="shared" si="88"/>
        <v>7.0458360272219815</v>
      </c>
      <c r="AE187" s="4">
        <f t="shared" si="89"/>
        <v>4.828168278926626</v>
      </c>
      <c r="AF187" s="6">
        <f t="shared" si="137"/>
        <v>1192.2766880182903</v>
      </c>
      <c r="AG187" s="30">
        <f t="shared" si="127"/>
        <v>0.26229643147809667</v>
      </c>
      <c r="AH187" s="21">
        <f t="shared" si="130"/>
        <v>0.64239978</v>
      </c>
      <c r="AI187" s="47">
        <f t="shared" si="113"/>
        <v>2.61739978</v>
      </c>
      <c r="AJ187" s="4">
        <f t="shared" si="90"/>
        <v>2.130980144750407</v>
      </c>
      <c r="AK187" s="4">
        <f t="shared" si="91"/>
        <v>121.79842106251739</v>
      </c>
      <c r="AL187" s="4">
        <f t="shared" si="92"/>
        <v>0.4864196352495931</v>
      </c>
      <c r="AM187" s="5">
        <f t="shared" si="124"/>
        <v>259.5500169461743</v>
      </c>
      <c r="AN187" s="26">
        <f t="shared" si="114"/>
        <v>-0.04582397166720966</v>
      </c>
      <c r="AO187" s="4">
        <f t="shared" si="93"/>
        <v>1.2191991069450898</v>
      </c>
      <c r="AP187" s="21">
        <f t="shared" si="135"/>
        <v>16.6</v>
      </c>
      <c r="AQ187" s="21">
        <f aca="true" t="shared" si="139" ref="AQ187:AQ218">7.25*(Z187-$Z$154)+$AQ$154</f>
        <v>384.25</v>
      </c>
      <c r="AR187" s="21">
        <f t="shared" si="136"/>
        <v>55.13999999999999</v>
      </c>
      <c r="AS187" s="35">
        <f t="shared" si="94"/>
        <v>0.14192779907685107</v>
      </c>
      <c r="AT187" s="36">
        <f t="shared" si="95"/>
        <v>0.19819417345743212</v>
      </c>
      <c r="AU187" s="4">
        <f t="shared" si="96"/>
        <v>29.571866619040122</v>
      </c>
      <c r="AV187" s="4">
        <f t="shared" si="97"/>
        <v>0.19201839799968515</v>
      </c>
      <c r="AW187" s="4">
        <f t="shared" si="98"/>
        <v>0.013114821573904834</v>
      </c>
      <c r="AX187" s="21">
        <f t="shared" si="138"/>
        <v>19.505</v>
      </c>
      <c r="AY187" s="36">
        <f t="shared" si="99"/>
        <v>-0.11507374631268437</v>
      </c>
      <c r="AZ187" s="36">
        <f t="shared" si="100"/>
        <v>-0.3175462741665139</v>
      </c>
      <c r="BA187" s="36">
        <f t="shared" si="101"/>
        <v>-0.04416666666666667</v>
      </c>
      <c r="BB187" s="6">
        <f t="shared" si="115"/>
        <v>0.23095043877967653</v>
      </c>
      <c r="BC187" s="6">
        <f t="shared" si="125"/>
        <v>0.006530681981316955</v>
      </c>
      <c r="BD187" s="4">
        <f t="shared" si="116"/>
        <v>0.801583499445165</v>
      </c>
      <c r="BE187" s="4">
        <f>SUMPRODUCT(BC$4:BC187,$BD$171:BD$354)</f>
        <v>0.1314340766098667</v>
      </c>
      <c r="BF187" s="23">
        <f t="shared" si="117"/>
        <v>0.1314340766098667</v>
      </c>
      <c r="BG187" s="48"/>
    </row>
    <row r="188" spans="5:59" ht="15">
      <c r="E188" s="1">
        <f t="shared" si="118"/>
        <v>184</v>
      </c>
      <c r="F188" s="1">
        <f t="shared" si="102"/>
        <v>1934</v>
      </c>
      <c r="G188" s="3">
        <f t="shared" si="132"/>
        <v>0.4630000000000002</v>
      </c>
      <c r="H188" s="3">
        <f t="shared" si="133"/>
        <v>0.19260000000000038</v>
      </c>
      <c r="I188" s="5">
        <f t="shared" si="103"/>
        <v>0.1443837045994129</v>
      </c>
      <c r="J188" s="5">
        <f t="shared" si="119"/>
        <v>0.21619713697847798</v>
      </c>
      <c r="K188" s="4">
        <f t="shared" si="104"/>
        <v>0.2950191584221097</v>
      </c>
      <c r="L188" s="4">
        <f t="shared" si="105"/>
        <v>0.0005608781360705148</v>
      </c>
      <c r="M188" s="4">
        <f t="shared" si="85"/>
        <v>0.9379668811118792</v>
      </c>
      <c r="N188" s="4">
        <f t="shared" si="106"/>
        <v>0.000526085115973905</v>
      </c>
      <c r="O188" s="4">
        <f>SUMPRODUCT($M$4:M188,L$170:$L$354)</f>
        <v>0.6314402762473256</v>
      </c>
      <c r="P188" s="4">
        <f t="shared" si="107"/>
        <v>0.30652660486455363</v>
      </c>
      <c r="Q188" s="4">
        <f t="shared" si="120"/>
        <v>9.031234670099847</v>
      </c>
      <c r="R188" s="4">
        <f t="shared" si="121"/>
        <v>12.087335769935201</v>
      </c>
      <c r="S188" s="4">
        <f t="shared" si="126"/>
        <v>0.043725003208638605</v>
      </c>
      <c r="T188" s="5">
        <f t="shared" si="122"/>
        <v>293.71576503105007</v>
      </c>
      <c r="U188" s="4">
        <f t="shared" si="108"/>
        <v>295.6745110920751</v>
      </c>
      <c r="V188" s="4">
        <f t="shared" si="86"/>
        <v>0.00945322050808243</v>
      </c>
      <c r="W188" s="4">
        <f>SUMPRODUCT($J$4:J188,$S$170:S$354)</f>
        <v>1.4495104801233487</v>
      </c>
      <c r="X188" s="6">
        <f t="shared" si="134"/>
        <v>0.2914124746776164</v>
      </c>
      <c r="Y188" s="4">
        <f t="shared" si="110"/>
        <v>1934</v>
      </c>
      <c r="Z188" s="4">
        <f t="shared" si="123"/>
        <v>184</v>
      </c>
      <c r="AA188" s="21">
        <f t="shared" si="111"/>
        <v>68.08</v>
      </c>
      <c r="AB188" s="6">
        <f t="shared" si="112"/>
        <v>174.41537449999998</v>
      </c>
      <c r="AC188" s="24">
        <f t="shared" si="87"/>
        <v>169.57443301590425</v>
      </c>
      <c r="AD188" s="4">
        <f t="shared" si="88"/>
        <v>7.059465480771747</v>
      </c>
      <c r="AE188" s="4">
        <f t="shared" si="89"/>
        <v>4.840941484095737</v>
      </c>
      <c r="AF188" s="6">
        <f t="shared" si="137"/>
        <v>1197.1048562972169</v>
      </c>
      <c r="AG188" s="30">
        <f t="shared" si="127"/>
        <v>0.26481079096590804</v>
      </c>
      <c r="AH188" s="21">
        <f t="shared" si="130"/>
        <v>0.6618664400000001</v>
      </c>
      <c r="AI188" s="47">
        <f t="shared" si="113"/>
        <v>2.6368664400000004</v>
      </c>
      <c r="AJ188" s="4">
        <f t="shared" si="90"/>
        <v>2.135844061744627</v>
      </c>
      <c r="AK188" s="4">
        <f t="shared" si="91"/>
        <v>121.74879301301506</v>
      </c>
      <c r="AL188" s="4">
        <f t="shared" si="92"/>
        <v>0.5010223782553735</v>
      </c>
      <c r="AM188" s="5">
        <f t="shared" si="124"/>
        <v>260.0364365814239</v>
      </c>
      <c r="AN188" s="26">
        <f t="shared" si="114"/>
        <v>-0.04401326340344568</v>
      </c>
      <c r="AO188" s="4">
        <f t="shared" si="93"/>
        <v>1.2165740447226048</v>
      </c>
      <c r="AP188" s="21">
        <f t="shared" si="135"/>
        <v>16.8</v>
      </c>
      <c r="AQ188" s="21">
        <f t="shared" si="139"/>
        <v>391.5</v>
      </c>
      <c r="AR188" s="21">
        <f t="shared" si="136"/>
        <v>55.72</v>
      </c>
      <c r="AS188" s="35">
        <f t="shared" si="94"/>
        <v>0.14165378423108022</v>
      </c>
      <c r="AT188" s="36">
        <f t="shared" si="95"/>
        <v>0.19603874840317945</v>
      </c>
      <c r="AU188" s="4">
        <f t="shared" si="96"/>
        <v>29.62696241632532</v>
      </c>
      <c r="AV188" s="4">
        <f t="shared" si="97"/>
        <v>0.19433242148566343</v>
      </c>
      <c r="AW188" s="4">
        <f t="shared" si="98"/>
        <v>0.013240539548295403</v>
      </c>
      <c r="AX188" s="21">
        <f t="shared" si="138"/>
        <v>19.74</v>
      </c>
      <c r="AY188" s="36">
        <f t="shared" si="99"/>
        <v>-0.11646017699115044</v>
      </c>
      <c r="AZ188" s="36">
        <f t="shared" si="100"/>
        <v>-0.3207209528948459</v>
      </c>
      <c r="BA188" s="36">
        <f t="shared" si="101"/>
        <v>-0.045000000000000005</v>
      </c>
      <c r="BB188" s="6">
        <f t="shared" si="115"/>
        <v>0.2376018333880412</v>
      </c>
      <c r="BC188" s="6">
        <f t="shared" si="125"/>
        <v>0.006651394608364669</v>
      </c>
      <c r="BD188" s="4">
        <f t="shared" si="116"/>
        <v>0.801131585571166</v>
      </c>
      <c r="BE188" s="4">
        <f>SUMPRODUCT(BC$4:BC188,$BD$170:BD$354)</f>
        <v>0.1349738175497144</v>
      </c>
      <c r="BF188" s="23">
        <f t="shared" si="117"/>
        <v>0.1349738175497144</v>
      </c>
      <c r="BG188" s="48"/>
    </row>
    <row r="189" spans="5:59" ht="15">
      <c r="E189" s="1">
        <f t="shared" si="118"/>
        <v>185</v>
      </c>
      <c r="F189" s="1">
        <f t="shared" si="102"/>
        <v>1935</v>
      </c>
      <c r="G189" s="3">
        <f t="shared" si="132"/>
        <v>0.4700000000000002</v>
      </c>
      <c r="H189" s="3">
        <f t="shared" si="133"/>
        <v>0.1940000000000004</v>
      </c>
      <c r="I189" s="5">
        <f t="shared" si="103"/>
        <v>0.1465607751525504</v>
      </c>
      <c r="J189" s="5">
        <f t="shared" si="119"/>
        <v>0.21912894330661944</v>
      </c>
      <c r="K189" s="4">
        <f t="shared" si="104"/>
        <v>0.2983102815408307</v>
      </c>
      <c r="L189" s="4">
        <f t="shared" si="105"/>
        <v>0.0005666524693362819</v>
      </c>
      <c r="M189" s="4">
        <f t="shared" si="85"/>
        <v>0.9551401473804222</v>
      </c>
      <c r="N189" s="4">
        <f t="shared" si="106"/>
        <v>0.0005412325230753365</v>
      </c>
      <c r="O189" s="4">
        <f>SUMPRODUCT($M$4:M189,L$169:$L$354)</f>
        <v>0.6439916217315577</v>
      </c>
      <c r="P189" s="4">
        <f t="shared" si="107"/>
        <v>0.3111485256488645</v>
      </c>
      <c r="Q189" s="4">
        <f t="shared" si="120"/>
        <v>9.193580282771295</v>
      </c>
      <c r="R189" s="4">
        <f t="shared" si="121"/>
        <v>12.310533136816327</v>
      </c>
      <c r="S189" s="4">
        <f t="shared" si="126"/>
        <v>0.04385024253532342</v>
      </c>
      <c r="T189" s="5">
        <f t="shared" si="122"/>
        <v>293.9842220241392</v>
      </c>
      <c r="U189" s="4">
        <f t="shared" si="108"/>
        <v>295.9695302504972</v>
      </c>
      <c r="V189" s="4">
        <f t="shared" si="86"/>
        <v>0.009608857310504398</v>
      </c>
      <c r="W189" s="4">
        <f>SUMPRODUCT($J$4:J189,$S$169:S$354)</f>
        <v>1.4753142926460168</v>
      </c>
      <c r="X189" s="6">
        <f t="shared" si="134"/>
        <v>0.29674795519658875</v>
      </c>
      <c r="Y189" s="4">
        <f t="shared" si="110"/>
        <v>1935</v>
      </c>
      <c r="Z189" s="4">
        <f t="shared" si="123"/>
        <v>185</v>
      </c>
      <c r="AA189" s="21">
        <f t="shared" si="111"/>
        <v>68.45</v>
      </c>
      <c r="AB189" s="6">
        <f t="shared" si="112"/>
        <v>174.7853745</v>
      </c>
      <c r="AC189" s="24">
        <f t="shared" si="87"/>
        <v>169.93180370166198</v>
      </c>
      <c r="AD189" s="4">
        <f t="shared" si="88"/>
        <v>7.073106808725984</v>
      </c>
      <c r="AE189" s="4">
        <f t="shared" si="89"/>
        <v>4.853570798338012</v>
      </c>
      <c r="AF189" s="6">
        <f t="shared" si="137"/>
        <v>1201.9457977813126</v>
      </c>
      <c r="AG189" s="30">
        <f t="shared" si="127"/>
        <v>0.2673267168783115</v>
      </c>
      <c r="AH189" s="21">
        <f t="shared" si="130"/>
        <v>0.6813331</v>
      </c>
      <c r="AI189" s="47">
        <f t="shared" si="113"/>
        <v>2.6563331000000003</v>
      </c>
      <c r="AJ189" s="4">
        <f t="shared" si="90"/>
        <v>2.1408251629977464</v>
      </c>
      <c r="AK189" s="4">
        <f t="shared" si="91"/>
        <v>121.69954999727997</v>
      </c>
      <c r="AL189" s="4">
        <f t="shared" si="92"/>
        <v>0.515507937002254</v>
      </c>
      <c r="AM189" s="5">
        <f t="shared" si="124"/>
        <v>260.53745895967927</v>
      </c>
      <c r="AN189" s="26">
        <f t="shared" si="114"/>
        <v>-0.042149965782542154</v>
      </c>
      <c r="AO189" s="4">
        <f t="shared" si="93"/>
        <v>1.2139568253645547</v>
      </c>
      <c r="AP189" s="21">
        <f t="shared" si="135"/>
        <v>17</v>
      </c>
      <c r="AQ189" s="21">
        <f t="shared" si="139"/>
        <v>398.75</v>
      </c>
      <c r="AR189" s="21">
        <f t="shared" si="136"/>
        <v>56.3</v>
      </c>
      <c r="AS189" s="35">
        <f t="shared" si="94"/>
        <v>0.1413805880559184</v>
      </c>
      <c r="AT189" s="36">
        <f t="shared" si="95"/>
        <v>0.19388512805477456</v>
      </c>
      <c r="AU189" s="4">
        <f t="shared" si="96"/>
        <v>29.68203001508165</v>
      </c>
      <c r="AV189" s="4">
        <f t="shared" si="97"/>
        <v>0.19664526063342935</v>
      </c>
      <c r="AW189" s="4">
        <f t="shared" si="98"/>
        <v>0.013366335843915575</v>
      </c>
      <c r="AX189" s="21">
        <f t="shared" si="138"/>
        <v>19.974999999999998</v>
      </c>
      <c r="AY189" s="36">
        <f t="shared" si="99"/>
        <v>-0.11784660766961652</v>
      </c>
      <c r="AZ189" s="36">
        <f t="shared" si="100"/>
        <v>-0.3238835708173065</v>
      </c>
      <c r="BA189" s="36">
        <f t="shared" si="101"/>
        <v>-0.04583333333333334</v>
      </c>
      <c r="BB189" s="6">
        <f t="shared" si="115"/>
        <v>0.24437279094944664</v>
      </c>
      <c r="BC189" s="6">
        <f t="shared" si="125"/>
        <v>0.006770957561405444</v>
      </c>
      <c r="BD189" s="4">
        <f t="shared" si="116"/>
        <v>0.8006786107712293</v>
      </c>
      <c r="BE189" s="4">
        <f>SUMPRODUCT(BC$4:BC189,$BD$169:BD$354)</f>
        <v>0.1386074624302437</v>
      </c>
      <c r="BF189" s="23">
        <f t="shared" si="117"/>
        <v>0.1386074624302437</v>
      </c>
      <c r="BG189" s="48"/>
    </row>
    <row r="190" spans="5:59" ht="15">
      <c r="E190" s="1">
        <f t="shared" si="118"/>
        <v>186</v>
      </c>
      <c r="F190" s="1">
        <f t="shared" si="102"/>
        <v>1936</v>
      </c>
      <c r="G190" s="3">
        <f t="shared" si="132"/>
        <v>0.4770000000000002</v>
      </c>
      <c r="H190" s="3">
        <f t="shared" si="133"/>
        <v>0.1954000000000004</v>
      </c>
      <c r="I190" s="5">
        <f t="shared" si="103"/>
        <v>0.14874566668858297</v>
      </c>
      <c r="J190" s="5">
        <f t="shared" si="119"/>
        <v>0.22206194995882692</v>
      </c>
      <c r="K190" s="4">
        <f t="shared" si="104"/>
        <v>0.30159238335259075</v>
      </c>
      <c r="L190" s="4">
        <f t="shared" si="105"/>
        <v>0.0005724918809971887</v>
      </c>
      <c r="M190" s="4">
        <f t="shared" si="85"/>
        <v>0.9724875953328546</v>
      </c>
      <c r="N190" s="4">
        <f t="shared" si="106"/>
        <v>0.0005567412526985388</v>
      </c>
      <c r="O190" s="4">
        <f>SUMPRODUCT($M$4:M190,L$168:$L$354)</f>
        <v>0.6567005449529929</v>
      </c>
      <c r="P190" s="4">
        <f t="shared" si="107"/>
        <v>0.31578705037986166</v>
      </c>
      <c r="Q190" s="4">
        <f t="shared" si="120"/>
        <v>9.357242032915067</v>
      </c>
      <c r="R190" s="4">
        <f t="shared" si="121"/>
        <v>12.535756212794242</v>
      </c>
      <c r="S190" s="4">
        <f t="shared" si="126"/>
        <v>0.043976567758677566</v>
      </c>
      <c r="T190" s="5">
        <f t="shared" si="122"/>
        <v>294.25595926541104</v>
      </c>
      <c r="U190" s="4">
        <f t="shared" si="108"/>
        <v>296.267840532038</v>
      </c>
      <c r="V190" s="4">
        <f t="shared" si="86"/>
        <v>0.009765522388988418</v>
      </c>
      <c r="W190" s="4">
        <f>SUMPRODUCT($J$4:J190,$S$168:S$354)</f>
        <v>1.5013238661500825</v>
      </c>
      <c r="X190" s="6">
        <f t="shared" si="134"/>
        <v>0.30213755139551524</v>
      </c>
      <c r="Y190" s="4">
        <f t="shared" si="110"/>
        <v>1936</v>
      </c>
      <c r="Z190" s="4">
        <f t="shared" si="123"/>
        <v>186</v>
      </c>
      <c r="AA190" s="21">
        <f t="shared" si="111"/>
        <v>68.82</v>
      </c>
      <c r="AB190" s="6">
        <f t="shared" si="112"/>
        <v>175.1553745</v>
      </c>
      <c r="AC190" s="24">
        <f t="shared" si="87"/>
        <v>170.2893017790264</v>
      </c>
      <c r="AD190" s="4">
        <f t="shared" si="88"/>
        <v>7.0867597434020695</v>
      </c>
      <c r="AE190" s="4">
        <f t="shared" si="89"/>
        <v>4.866072720973591</v>
      </c>
      <c r="AF190" s="6">
        <f t="shared" si="137"/>
        <v>1206.7993685796507</v>
      </c>
      <c r="AG190" s="30">
        <f t="shared" si="127"/>
        <v>0.269844125204471</v>
      </c>
      <c r="AH190" s="21">
        <f t="shared" si="130"/>
        <v>0.70079976</v>
      </c>
      <c r="AI190" s="47">
        <f t="shared" si="113"/>
        <v>2.6757997600000003</v>
      </c>
      <c r="AJ190" s="4">
        <f t="shared" si="90"/>
        <v>2.145922682127531</v>
      </c>
      <c r="AK190" s="4">
        <f t="shared" si="91"/>
        <v>121.65068623901489</v>
      </c>
      <c r="AL190" s="4">
        <f t="shared" si="92"/>
        <v>0.5298770778724693</v>
      </c>
      <c r="AM190" s="5">
        <f t="shared" si="124"/>
        <v>261.05296689668154</v>
      </c>
      <c r="AN190" s="26">
        <f t="shared" si="114"/>
        <v>-0.04023466559142065</v>
      </c>
      <c r="AO190" s="4">
        <f t="shared" si="93"/>
        <v>1.211347467797831</v>
      </c>
      <c r="AP190" s="21">
        <f t="shared" si="135"/>
        <v>17.2</v>
      </c>
      <c r="AQ190" s="21">
        <f t="shared" si="139"/>
        <v>406</v>
      </c>
      <c r="AR190" s="21">
        <f t="shared" si="136"/>
        <v>56.879999999999995</v>
      </c>
      <c r="AS190" s="35">
        <f t="shared" si="94"/>
        <v>0.14110821252703284</v>
      </c>
      <c r="AT190" s="36">
        <f t="shared" si="95"/>
        <v>0.19173334975554032</v>
      </c>
      <c r="AU190" s="4">
        <f t="shared" si="96"/>
        <v>29.73706883181968</v>
      </c>
      <c r="AV190" s="4">
        <f t="shared" si="97"/>
        <v>0.1989568909364266</v>
      </c>
      <c r="AW190" s="4">
        <f t="shared" si="98"/>
        <v>0.013492206260223549</v>
      </c>
      <c r="AX190" s="21">
        <f t="shared" si="138"/>
        <v>20.209999999999997</v>
      </c>
      <c r="AY190" s="36">
        <f t="shared" si="99"/>
        <v>-0.11923303834808259</v>
      </c>
      <c r="AZ190" s="36">
        <f t="shared" si="100"/>
        <v>-0.32703421922671116</v>
      </c>
      <c r="BA190" s="36">
        <f t="shared" si="101"/>
        <v>-0.04666666666666667</v>
      </c>
      <c r="BB190" s="6">
        <f t="shared" si="115"/>
        <v>0.2512621839637553</v>
      </c>
      <c r="BC190" s="6">
        <f t="shared" si="125"/>
        <v>0.006889393014308687</v>
      </c>
      <c r="BD190" s="4">
        <f t="shared" si="116"/>
        <v>0.8002245702812498</v>
      </c>
      <c r="BE190" s="4">
        <f>SUMPRODUCT(BC$4:BC190,$BD$168:BD$354)</f>
        <v>0.14233474594502932</v>
      </c>
      <c r="BF190" s="23">
        <f t="shared" si="117"/>
        <v>0.14233474594502932</v>
      </c>
      <c r="BG190" s="48"/>
    </row>
    <row r="191" spans="5:59" ht="15">
      <c r="E191" s="1">
        <f t="shared" si="118"/>
        <v>187</v>
      </c>
      <c r="F191" s="1">
        <f t="shared" si="102"/>
        <v>1937</v>
      </c>
      <c r="G191" s="3">
        <f t="shared" si="132"/>
        <v>0.4840000000000002</v>
      </c>
      <c r="H191" s="3">
        <f t="shared" si="133"/>
        <v>0.19680000000000042</v>
      </c>
      <c r="I191" s="5">
        <f t="shared" si="103"/>
        <v>0.15093806732432397</v>
      </c>
      <c r="J191" s="5">
        <f t="shared" si="119"/>
        <v>0.22499614960695472</v>
      </c>
      <c r="K191" s="4">
        <f t="shared" si="104"/>
        <v>0.3048657830687219</v>
      </c>
      <c r="L191" s="4">
        <f t="shared" si="105"/>
        <v>0.0005783973863263891</v>
      </c>
      <c r="M191" s="4">
        <f t="shared" si="85"/>
        <v>0.9900081579626523</v>
      </c>
      <c r="N191" s="4">
        <f t="shared" si="106"/>
        <v>0.000572618131007401</v>
      </c>
      <c r="O191" s="4">
        <f>SUMPRODUCT($M$4:M191,L$167:$L$354)</f>
        <v>0.6695666410331125</v>
      </c>
      <c r="P191" s="4">
        <f t="shared" si="107"/>
        <v>0.3204415169295398</v>
      </c>
      <c r="Q191" s="4">
        <f t="shared" si="120"/>
        <v>9.522208830609364</v>
      </c>
      <c r="R191" s="4">
        <f t="shared" si="121"/>
        <v>12.76299521264985</v>
      </c>
      <c r="S191" s="4">
        <f t="shared" si="126"/>
        <v>0.0441039929158975</v>
      </c>
      <c r="T191" s="5">
        <f t="shared" si="122"/>
        <v>294.5309677999516</v>
      </c>
      <c r="U191" s="4">
        <f t="shared" si="108"/>
        <v>296.5694329153906</v>
      </c>
      <c r="V191" s="4">
        <f t="shared" si="86"/>
        <v>0.009923228588369344</v>
      </c>
      <c r="W191" s="4">
        <f>SUMPRODUCT($J$4:J191,$S$167:S$354)</f>
        <v>1.527537517252149</v>
      </c>
      <c r="X191" s="6">
        <f t="shared" si="134"/>
        <v>0.3075809317712073</v>
      </c>
      <c r="Y191" s="4">
        <f t="shared" si="110"/>
        <v>1937</v>
      </c>
      <c r="Z191" s="4">
        <f t="shared" si="123"/>
        <v>187</v>
      </c>
      <c r="AA191" s="21">
        <f t="shared" si="111"/>
        <v>69.19</v>
      </c>
      <c r="AB191" s="6">
        <f t="shared" si="112"/>
        <v>175.5253745</v>
      </c>
      <c r="AC191" s="24">
        <f t="shared" si="87"/>
        <v>170.64691252610987</v>
      </c>
      <c r="AD191" s="4">
        <f t="shared" si="88"/>
        <v>7.100424047316022</v>
      </c>
      <c r="AE191" s="4">
        <f t="shared" si="89"/>
        <v>4.878461973890126</v>
      </c>
      <c r="AF191" s="6">
        <f t="shared" si="137"/>
        <v>1211.6654413006243</v>
      </c>
      <c r="AG191" s="30">
        <f t="shared" si="127"/>
        <v>0.27236294113509285</v>
      </c>
      <c r="AH191" s="21">
        <f t="shared" si="130"/>
        <v>0.72026642</v>
      </c>
      <c r="AI191" s="47">
        <f t="shared" si="113"/>
        <v>2.6952664200000003</v>
      </c>
      <c r="AJ191" s="4">
        <f t="shared" si="90"/>
        <v>2.151135854334007</v>
      </c>
      <c r="AK191" s="4">
        <f t="shared" si="91"/>
        <v>121.60219608981423</v>
      </c>
      <c r="AL191" s="4">
        <f t="shared" si="92"/>
        <v>0.5441305656659932</v>
      </c>
      <c r="AM191" s="5">
        <f t="shared" si="124"/>
        <v>261.582843974554</v>
      </c>
      <c r="AN191" s="26">
        <f t="shared" si="114"/>
        <v>-0.038267948669328145</v>
      </c>
      <c r="AO191" s="4">
        <f t="shared" si="93"/>
        <v>1.208745984594315</v>
      </c>
      <c r="AP191" s="21">
        <f t="shared" si="135"/>
        <v>17.400000000000002</v>
      </c>
      <c r="AQ191" s="21">
        <f t="shared" si="139"/>
        <v>413.25</v>
      </c>
      <c r="AR191" s="21">
        <f t="shared" si="136"/>
        <v>57.459999999999994</v>
      </c>
      <c r="AS191" s="35">
        <f t="shared" si="94"/>
        <v>0.14083665895672845</v>
      </c>
      <c r="AT191" s="36">
        <f t="shared" si="95"/>
        <v>0.18958344583098896</v>
      </c>
      <c r="AU191" s="4">
        <f t="shared" si="96"/>
        <v>29.7920783614533</v>
      </c>
      <c r="AV191" s="4">
        <f t="shared" si="97"/>
        <v>0.2012672911810386</v>
      </c>
      <c r="AW191" s="4">
        <f t="shared" si="98"/>
        <v>0.013618147056754645</v>
      </c>
      <c r="AX191" s="21">
        <f t="shared" si="138"/>
        <v>20.445</v>
      </c>
      <c r="AY191" s="36">
        <f t="shared" si="99"/>
        <v>-0.12061946902654869</v>
      </c>
      <c r="AZ191" s="36">
        <f t="shared" si="100"/>
        <v>-0.3301729883832374</v>
      </c>
      <c r="BA191" s="36">
        <f t="shared" si="101"/>
        <v>-0.0475</v>
      </c>
      <c r="BB191" s="6">
        <f t="shared" si="115"/>
        <v>0.2582689050649792</v>
      </c>
      <c r="BC191" s="6">
        <f t="shared" si="125"/>
        <v>0.007006721101223856</v>
      </c>
      <c r="BD191" s="4">
        <f t="shared" si="116"/>
        <v>0.7997694591572758</v>
      </c>
      <c r="BE191" s="4">
        <f>SUMPRODUCT(BC$4:BC191,$BD$167:BD$354)</f>
        <v>0.14615537064873677</v>
      </c>
      <c r="BF191" s="23">
        <f t="shared" si="117"/>
        <v>0.14615537064873677</v>
      </c>
      <c r="BG191" s="48"/>
    </row>
    <row r="192" spans="5:59" ht="15">
      <c r="E192" s="1">
        <f t="shared" si="118"/>
        <v>188</v>
      </c>
      <c r="F192" s="1">
        <f t="shared" si="102"/>
        <v>1938</v>
      </c>
      <c r="G192" s="3">
        <f t="shared" si="132"/>
        <v>0.4910000000000002</v>
      </c>
      <c r="H192" s="3">
        <f t="shared" si="133"/>
        <v>0.19820000000000043</v>
      </c>
      <c r="I192" s="5">
        <f t="shared" si="103"/>
        <v>0.15313767503124595</v>
      </c>
      <c r="J192" s="5">
        <f t="shared" si="119"/>
        <v>0.2279315466105104</v>
      </c>
      <c r="K192" s="4">
        <f t="shared" si="104"/>
        <v>0.3081307783582443</v>
      </c>
      <c r="L192" s="4">
        <f t="shared" si="105"/>
        <v>0.0005843700293210732</v>
      </c>
      <c r="M192" s="4">
        <f t="shared" si="85"/>
        <v>1.0077007848002262</v>
      </c>
      <c r="N192" s="4">
        <f t="shared" si="106"/>
        <v>0.0005888701371605766</v>
      </c>
      <c r="O192" s="4">
        <f>SUMPRODUCT($M$4:M192,L$166:$L$354)</f>
        <v>0.682589500708891</v>
      </c>
      <c r="P192" s="4">
        <f t="shared" si="107"/>
        <v>0.32511128409133516</v>
      </c>
      <c r="Q192" s="4">
        <f t="shared" si="120"/>
        <v>9.688469998925234</v>
      </c>
      <c r="R192" s="4">
        <f t="shared" si="121"/>
        <v>12.992240915976481</v>
      </c>
      <c r="S192" s="4">
        <f t="shared" si="126"/>
        <v>0.044232532316737336</v>
      </c>
      <c r="T192" s="5">
        <f t="shared" si="122"/>
        <v>294.80923888616815</v>
      </c>
      <c r="U192" s="4">
        <f t="shared" si="108"/>
        <v>296.87429869845937</v>
      </c>
      <c r="V192" s="4">
        <f t="shared" si="86"/>
        <v>0.010081989501453325</v>
      </c>
      <c r="W192" s="4">
        <f>SUMPRODUCT($J$4:J192,$S$166:S$354)</f>
        <v>1.5539536362644266</v>
      </c>
      <c r="X192" s="6">
        <f t="shared" si="134"/>
        <v>0.3130777699582584</v>
      </c>
      <c r="Y192" s="4">
        <f t="shared" si="110"/>
        <v>1938</v>
      </c>
      <c r="Z192" s="4">
        <f t="shared" si="123"/>
        <v>188</v>
      </c>
      <c r="AA192" s="21">
        <f t="shared" si="111"/>
        <v>69.56</v>
      </c>
      <c r="AB192" s="6">
        <f t="shared" si="112"/>
        <v>175.8953745</v>
      </c>
      <c r="AC192" s="24">
        <f t="shared" si="87"/>
        <v>171.0046228041418</v>
      </c>
      <c r="AD192" s="4">
        <f t="shared" si="88"/>
        <v>7.114099509858684</v>
      </c>
      <c r="AE192" s="4">
        <f t="shared" si="89"/>
        <v>4.890751695858199</v>
      </c>
      <c r="AF192" s="6">
        <f t="shared" si="137"/>
        <v>1216.5439032745144</v>
      </c>
      <c r="AG192" s="30">
        <f t="shared" si="127"/>
        <v>0.27488309805377137</v>
      </c>
      <c r="AH192" s="21">
        <f t="shared" si="130"/>
        <v>0.73973308</v>
      </c>
      <c r="AI192" s="47">
        <f t="shared" si="113"/>
        <v>2.7147330800000002</v>
      </c>
      <c r="AJ192" s="4">
        <f t="shared" si="90"/>
        <v>2.1564639165066186</v>
      </c>
      <c r="AK192" s="4">
        <f t="shared" si="91"/>
        <v>121.55407402543267</v>
      </c>
      <c r="AL192" s="4">
        <f t="shared" si="92"/>
        <v>0.5582691634933816</v>
      </c>
      <c r="AM192" s="5">
        <f t="shared" si="124"/>
        <v>262.12697454022</v>
      </c>
      <c r="AN192" s="26">
        <f t="shared" si="114"/>
        <v>-0.03625039976244508</v>
      </c>
      <c r="AO192" s="4">
        <f t="shared" si="93"/>
        <v>1.2061523827188234</v>
      </c>
      <c r="AP192" s="21">
        <f t="shared" si="135"/>
        <v>17.6</v>
      </c>
      <c r="AQ192" s="21">
        <f t="shared" si="139"/>
        <v>420.5</v>
      </c>
      <c r="AR192" s="21">
        <f t="shared" si="136"/>
        <v>58.04</v>
      </c>
      <c r="AS192" s="35">
        <f t="shared" si="94"/>
        <v>0.14056592807202162</v>
      </c>
      <c r="AT192" s="36">
        <f t="shared" si="95"/>
        <v>0.18743544415289112</v>
      </c>
      <c r="AU192" s="4">
        <f t="shared" si="96"/>
        <v>29.84705816848608</v>
      </c>
      <c r="AV192" s="4">
        <f t="shared" si="97"/>
        <v>0.20357644307641534</v>
      </c>
      <c r="AW192" s="4">
        <f t="shared" si="98"/>
        <v>0.01374415490268857</v>
      </c>
      <c r="AX192" s="21">
        <f t="shared" si="138"/>
        <v>20.68</v>
      </c>
      <c r="AY192" s="36">
        <f t="shared" si="99"/>
        <v>-0.12200589970501474</v>
      </c>
      <c r="AZ192" s="36">
        <f t="shared" si="100"/>
        <v>-0.3332999675299397</v>
      </c>
      <c r="BA192" s="36">
        <f t="shared" si="101"/>
        <v>-0.04833333333333334</v>
      </c>
      <c r="BB192" s="6">
        <f t="shared" si="115"/>
        <v>0.26539186566040085</v>
      </c>
      <c r="BC192" s="6">
        <f t="shared" si="125"/>
        <v>0.007122960595421668</v>
      </c>
      <c r="BD192" s="4">
        <f t="shared" si="116"/>
        <v>0.7993132722629464</v>
      </c>
      <c r="BE192" s="4">
        <f>SUMPRODUCT(BC$4:BC192,$BD$166:BD$354)</f>
        <v>0.15006901002720266</v>
      </c>
      <c r="BF192" s="23">
        <f t="shared" si="117"/>
        <v>0.15006901002720266</v>
      </c>
      <c r="BG192" s="48"/>
    </row>
    <row r="193" spans="5:59" ht="15">
      <c r="E193" s="1">
        <f t="shared" si="118"/>
        <v>189</v>
      </c>
      <c r="F193" s="1">
        <f t="shared" si="102"/>
        <v>1939</v>
      </c>
      <c r="G193" s="3">
        <f t="shared" si="132"/>
        <v>0.4980000000000002</v>
      </c>
      <c r="H193" s="3">
        <f t="shared" si="133"/>
        <v>0.19960000000000044</v>
      </c>
      <c r="I193" s="5">
        <f t="shared" si="103"/>
        <v>0.1553441969964449</v>
      </c>
      <c r="J193" s="5">
        <f t="shared" si="119"/>
        <v>0.2308681420990906</v>
      </c>
      <c r="K193" s="4">
        <f t="shared" si="104"/>
        <v>0.31138766090446524</v>
      </c>
      <c r="L193" s="4">
        <f t="shared" si="105"/>
        <v>0.000590410883940709</v>
      </c>
      <c r="M193" s="4">
        <f t="shared" si="85"/>
        <v>1.0255644406684687</v>
      </c>
      <c r="N193" s="4">
        <f t="shared" si="106"/>
        <v>0.0006055044079532294</v>
      </c>
      <c r="O193" s="4">
        <f>SUMPRODUCT($M$4:M193,L$165:$L$354)</f>
        <v>0.6957687104450162</v>
      </c>
      <c r="P193" s="4">
        <f t="shared" si="107"/>
        <v>0.32979573022345254</v>
      </c>
      <c r="Q193" s="4">
        <f t="shared" si="120"/>
        <v>9.85601532835117</v>
      </c>
      <c r="R193" s="4">
        <f t="shared" si="121"/>
        <v>13.223484744078117</v>
      </c>
      <c r="S193" s="4">
        <f t="shared" si="126"/>
        <v>0.04436220055193056</v>
      </c>
      <c r="T193" s="5">
        <f t="shared" si="122"/>
        <v>295.09076410939986</v>
      </c>
      <c r="U193" s="4">
        <f t="shared" si="108"/>
        <v>297.1824294768176</v>
      </c>
      <c r="V193" s="4">
        <f t="shared" si="86"/>
        <v>0.01024181882085146</v>
      </c>
      <c r="W193" s="4">
        <f>SUMPRODUCT($J$4:J193,$S$165:S$354)</f>
        <v>1.5805706724322797</v>
      </c>
      <c r="X193" s="6">
        <f t="shared" si="134"/>
        <v>0.3186277443424104</v>
      </c>
      <c r="Y193" s="4">
        <f t="shared" si="110"/>
        <v>1939</v>
      </c>
      <c r="Z193" s="4">
        <f t="shared" si="123"/>
        <v>189</v>
      </c>
      <c r="AA193" s="21">
        <f t="shared" si="111"/>
        <v>69.92999999999999</v>
      </c>
      <c r="AB193" s="6">
        <f t="shared" si="112"/>
        <v>176.2653745</v>
      </c>
      <c r="AC193" s="24">
        <f t="shared" si="87"/>
        <v>171.36242088470067</v>
      </c>
      <c r="AD193" s="4">
        <f t="shared" si="88"/>
        <v>7.127785944341913</v>
      </c>
      <c r="AE193" s="4">
        <f t="shared" si="89"/>
        <v>4.902953615299339</v>
      </c>
      <c r="AF193" s="6">
        <f t="shared" si="137"/>
        <v>1221.4346549703725</v>
      </c>
      <c r="AG193" s="30">
        <f t="shared" si="127"/>
        <v>0.2774045366403453</v>
      </c>
      <c r="AH193" s="21">
        <f t="shared" si="130"/>
        <v>0.75919974</v>
      </c>
      <c r="AI193" s="47">
        <f t="shared" si="113"/>
        <v>2.73419974</v>
      </c>
      <c r="AJ193" s="4">
        <f t="shared" si="90"/>
        <v>2.161906107326753</v>
      </c>
      <c r="AK193" s="4">
        <f t="shared" si="91"/>
        <v>121.5063146421885</v>
      </c>
      <c r="AL193" s="4">
        <f t="shared" si="92"/>
        <v>0.5722936326732473</v>
      </c>
      <c r="AM193" s="5">
        <f t="shared" si="124"/>
        <v>262.68524370371335</v>
      </c>
      <c r="AN193" s="26">
        <f t="shared" si="114"/>
        <v>-0.03418260238195813</v>
      </c>
      <c r="AO193" s="4">
        <f t="shared" si="93"/>
        <v>1.2035666641910954</v>
      </c>
      <c r="AP193" s="21">
        <f t="shared" si="135"/>
        <v>17.8</v>
      </c>
      <c r="AQ193" s="21">
        <f t="shared" si="139"/>
        <v>427.75</v>
      </c>
      <c r="AR193" s="21">
        <f t="shared" si="136"/>
        <v>58.62</v>
      </c>
      <c r="AS193" s="35">
        <f t="shared" si="94"/>
        <v>0.140296020083741</v>
      </c>
      <c r="AT193" s="36">
        <f t="shared" si="95"/>
        <v>0.18528936863968876</v>
      </c>
      <c r="AU193" s="4">
        <f t="shared" si="96"/>
        <v>29.902007879192364</v>
      </c>
      <c r="AV193" s="4">
        <f t="shared" si="97"/>
        <v>0.20588433092607933</v>
      </c>
      <c r="AW193" s="4">
        <f t="shared" si="98"/>
        <v>0.013870226832017265</v>
      </c>
      <c r="AX193" s="21">
        <f t="shared" si="138"/>
        <v>20.915</v>
      </c>
      <c r="AY193" s="36">
        <f t="shared" si="99"/>
        <v>-0.12339233038348084</v>
      </c>
      <c r="AZ193" s="36">
        <f t="shared" si="100"/>
        <v>-0.3364152449079759</v>
      </c>
      <c r="BA193" s="36">
        <f t="shared" si="101"/>
        <v>-0.049166666666666664</v>
      </c>
      <c r="BB193" s="6">
        <f t="shared" si="115"/>
        <v>0.27262999440077074</v>
      </c>
      <c r="BC193" s="6">
        <f t="shared" si="125"/>
        <v>0.007238128740369887</v>
      </c>
      <c r="BD193" s="4">
        <f t="shared" si="116"/>
        <v>0.7988560042560263</v>
      </c>
      <c r="BE193" s="4">
        <f>SUMPRODUCT(BC$4:BC193,$BD$165:BD$354)</f>
        <v>0.15407531129682264</v>
      </c>
      <c r="BF193" s="23">
        <f t="shared" si="117"/>
        <v>0.15407531129682264</v>
      </c>
      <c r="BG193" s="48"/>
    </row>
    <row r="194" spans="5:59" ht="15">
      <c r="E194" s="1">
        <f t="shared" si="118"/>
        <v>190</v>
      </c>
      <c r="F194" s="1">
        <f t="shared" si="102"/>
        <v>1940</v>
      </c>
      <c r="G194" s="3">
        <f t="shared" si="132"/>
        <v>0.5050000000000002</v>
      </c>
      <c r="H194" s="3">
        <f t="shared" si="133"/>
        <v>0.20100000000000046</v>
      </c>
      <c r="I194" s="5">
        <f t="shared" si="103"/>
        <v>0.15755734940550917</v>
      </c>
      <c r="J194" s="5">
        <f t="shared" si="119"/>
        <v>0.2338059437924332</v>
      </c>
      <c r="K194" s="4">
        <f t="shared" si="104"/>
        <v>0.3146367068020583</v>
      </c>
      <c r="L194" s="4">
        <f t="shared" si="105"/>
        <v>0.0005965210554064123</v>
      </c>
      <c r="M194" s="4">
        <f t="shared" si="85"/>
        <v>1.0435981053435512</v>
      </c>
      <c r="N194" s="4">
        <f t="shared" si="106"/>
        <v>0.0006225282432196675</v>
      </c>
      <c r="O194" s="4">
        <f>SUMPRODUCT($M$4:M194,L$164:$L$354)</f>
        <v>0.7091038525556552</v>
      </c>
      <c r="P194" s="4">
        <f t="shared" si="107"/>
        <v>0.334494252787896</v>
      </c>
      <c r="Q194" s="4">
        <f t="shared" si="120"/>
        <v>10.024834983161641</v>
      </c>
      <c r="R194" s="4">
        <f t="shared" si="121"/>
        <v>13.45671863274601</v>
      </c>
      <c r="S194" s="4">
        <f t="shared" si="126"/>
        <v>0.04449301250198298</v>
      </c>
      <c r="T194" s="5">
        <f t="shared" si="122"/>
        <v>295.37553528696264</v>
      </c>
      <c r="U194" s="4">
        <f t="shared" si="108"/>
        <v>297.4938171377221</v>
      </c>
      <c r="V194" s="4">
        <f t="shared" si="86"/>
        <v>0.01040273078019466</v>
      </c>
      <c r="W194" s="4">
        <f>SUMPRODUCT($J$4:J194,$S$164:S$354)</f>
        <v>1.6073871371655948</v>
      </c>
      <c r="X194" s="6">
        <f t="shared" si="134"/>
        <v>0.3242305379551684</v>
      </c>
      <c r="Y194" s="4">
        <f t="shared" si="110"/>
        <v>1940</v>
      </c>
      <c r="Z194" s="4">
        <f t="shared" si="123"/>
        <v>190</v>
      </c>
      <c r="AA194" s="21">
        <f t="shared" si="111"/>
        <v>70.3</v>
      </c>
      <c r="AB194" s="6">
        <f t="shared" si="112"/>
        <v>176.6353745</v>
      </c>
      <c r="AC194" s="24">
        <f t="shared" si="87"/>
        <v>171.72029629607187</v>
      </c>
      <c r="AD194" s="4">
        <f t="shared" si="88"/>
        <v>7.141483185373031</v>
      </c>
      <c r="AE194" s="4">
        <f t="shared" si="89"/>
        <v>4.915078203928147</v>
      </c>
      <c r="AF194" s="6">
        <f t="shared" si="137"/>
        <v>1226.337608585672</v>
      </c>
      <c r="AG194" s="30">
        <f t="shared" si="127"/>
        <v>0.2799272040736636</v>
      </c>
      <c r="AH194" s="21">
        <f t="shared" si="130"/>
        <v>0.7786664</v>
      </c>
      <c r="AI194" s="47">
        <f t="shared" si="113"/>
        <v>2.7536664</v>
      </c>
      <c r="AJ194" s="4">
        <f t="shared" si="90"/>
        <v>2.16746166736583</v>
      </c>
      <c r="AK194" s="4">
        <f t="shared" si="91"/>
        <v>121.45891265349573</v>
      </c>
      <c r="AL194" s="4">
        <f t="shared" si="92"/>
        <v>0.5862047326341702</v>
      </c>
      <c r="AM194" s="5">
        <f t="shared" si="124"/>
        <v>263.2575373363866</v>
      </c>
      <c r="AN194" s="26">
        <f t="shared" si="114"/>
        <v>-0.03206513866561693</v>
      </c>
      <c r="AO194" s="4">
        <f t="shared" si="93"/>
        <v>1.2009888266717874</v>
      </c>
      <c r="AP194" s="21">
        <f t="shared" si="135"/>
        <v>18</v>
      </c>
      <c r="AQ194" s="21">
        <f t="shared" si="139"/>
        <v>435</v>
      </c>
      <c r="AR194" s="21">
        <f t="shared" si="136"/>
        <v>59.199999999999996</v>
      </c>
      <c r="AS194" s="35">
        <f t="shared" si="94"/>
        <v>0.14002693474769634</v>
      </c>
      <c r="AT194" s="36">
        <f t="shared" si="95"/>
        <v>0.18314523970052127</v>
      </c>
      <c r="AU194" s="4">
        <f t="shared" si="96"/>
        <v>29.956927174679358</v>
      </c>
      <c r="AV194" s="4">
        <f t="shared" si="97"/>
        <v>0.20819094133653304</v>
      </c>
      <c r="AW194" s="4">
        <f t="shared" si="98"/>
        <v>0.013996360203683183</v>
      </c>
      <c r="AX194" s="21">
        <f t="shared" si="138"/>
        <v>21.15</v>
      </c>
      <c r="AY194" s="36">
        <f t="shared" si="99"/>
        <v>-0.12477876106194691</v>
      </c>
      <c r="AZ194" s="36">
        <f t="shared" si="100"/>
        <v>-0.3395189077715475</v>
      </c>
      <c r="BA194" s="36">
        <f t="shared" si="101"/>
        <v>-0.05</v>
      </c>
      <c r="BB194" s="6">
        <f t="shared" si="115"/>
        <v>0.27998223606993694</v>
      </c>
      <c r="BC194" s="6">
        <f t="shared" si="125"/>
        <v>0.007352241669166204</v>
      </c>
      <c r="BD194" s="4">
        <f t="shared" si="116"/>
        <v>0.7983976495739725</v>
      </c>
      <c r="BE194" s="4">
        <f>SUMPRODUCT(BC$4:BC194,$BD$164:BD$354)</f>
        <v>0.1581738979431894</v>
      </c>
      <c r="BF194" s="23">
        <f t="shared" si="117"/>
        <v>0.1581738979431894</v>
      </c>
      <c r="BG194" s="48"/>
    </row>
    <row r="195" spans="5:59" ht="15">
      <c r="E195" s="1">
        <f t="shared" si="118"/>
        <v>191</v>
      </c>
      <c r="F195" s="1">
        <f t="shared" si="102"/>
        <v>1941</v>
      </c>
      <c r="G195" s="3">
        <f t="shared" si="132"/>
        <v>0.5120000000000002</v>
      </c>
      <c r="H195" s="3">
        <f t="shared" si="133"/>
        <v>0.20240000000000047</v>
      </c>
      <c r="I195" s="5">
        <f t="shared" si="103"/>
        <v>0.1597768569475687</v>
      </c>
      <c r="J195" s="5">
        <f t="shared" si="119"/>
        <v>0.23674495764534426</v>
      </c>
      <c r="K195" s="4">
        <f t="shared" si="104"/>
        <v>0.31787818540708773</v>
      </c>
      <c r="L195" s="4">
        <f t="shared" si="105"/>
        <v>0.0006027016815645574</v>
      </c>
      <c r="M195" s="4">
        <f t="shared" si="85"/>
        <v>1.0618007726597594</v>
      </c>
      <c r="N195" s="4">
        <f t="shared" si="106"/>
        <v>0.0006399491111685832</v>
      </c>
      <c r="O195" s="4">
        <f>SUMPRODUCT($M$4:M195,L$163:$L$354)</f>
        <v>0.722594505360071</v>
      </c>
      <c r="P195" s="4">
        <f t="shared" si="107"/>
        <v>0.3392062672996884</v>
      </c>
      <c r="Q195" s="4">
        <f t="shared" si="120"/>
        <v>10.19491952191217</v>
      </c>
      <c r="R195" s="4">
        <f t="shared" si="121"/>
        <v>13.6919350622528</v>
      </c>
      <c r="S195" s="4">
        <f t="shared" si="126"/>
        <v>0.044624983346355784</v>
      </c>
      <c r="T195" s="5">
        <f t="shared" si="122"/>
        <v>295.6635445282573</v>
      </c>
      <c r="U195" s="4">
        <f t="shared" si="108"/>
        <v>297.80845384452414</v>
      </c>
      <c r="V195" s="4">
        <f t="shared" si="86"/>
        <v>0.010564739792257192</v>
      </c>
      <c r="W195" s="4">
        <f>SUMPRODUCT($J$4:J195,$S$163:S$354)</f>
        <v>1.6344015945267059</v>
      </c>
      <c r="X195" s="6">
        <f t="shared" si="134"/>
        <v>0.32988583819568595</v>
      </c>
      <c r="Y195" s="4">
        <f t="shared" si="110"/>
        <v>1941</v>
      </c>
      <c r="Z195" s="4">
        <f t="shared" si="123"/>
        <v>191</v>
      </c>
      <c r="AA195" s="21">
        <f t="shared" si="111"/>
        <v>70.67</v>
      </c>
      <c r="AB195" s="6">
        <f t="shared" si="112"/>
        <v>177.00537450000002</v>
      </c>
      <c r="AC195" s="24">
        <f t="shared" si="87"/>
        <v>172.07823968658408</v>
      </c>
      <c r="AD195" s="4">
        <f t="shared" si="88"/>
        <v>7.155191086520589</v>
      </c>
      <c r="AE195" s="4">
        <f t="shared" si="89"/>
        <v>4.9271348134159325</v>
      </c>
      <c r="AF195" s="6">
        <f t="shared" si="137"/>
        <v>1231.2526867896</v>
      </c>
      <c r="AG195" s="30">
        <f t="shared" si="127"/>
        <v>0.2824510533225866</v>
      </c>
      <c r="AH195" s="21">
        <f t="shared" si="130"/>
        <v>0.7981330600000001</v>
      </c>
      <c r="AI195" s="47">
        <f t="shared" si="113"/>
        <v>2.77313306</v>
      </c>
      <c r="AJ195" s="4">
        <f t="shared" si="90"/>
        <v>2.1731298391791234</v>
      </c>
      <c r="AK195" s="4">
        <f t="shared" si="91"/>
        <v>121.41186288651988</v>
      </c>
      <c r="AL195" s="4">
        <f t="shared" si="92"/>
        <v>0.6000032208208768</v>
      </c>
      <c r="AM195" s="5">
        <f t="shared" si="124"/>
        <v>263.8437420690207</v>
      </c>
      <c r="AN195" s="26">
        <f t="shared" si="114"/>
        <v>-0.029898589242797726</v>
      </c>
      <c r="AO195" s="4">
        <f t="shared" si="93"/>
        <v>1.198418863981285</v>
      </c>
      <c r="AP195" s="21">
        <f t="shared" si="135"/>
        <v>18.2</v>
      </c>
      <c r="AQ195" s="21">
        <f t="shared" si="139"/>
        <v>442.25</v>
      </c>
      <c r="AR195" s="21">
        <f t="shared" si="136"/>
        <v>59.779999999999994</v>
      </c>
      <c r="AS195" s="35">
        <f t="shared" si="94"/>
        <v>0.13975867141883389</v>
      </c>
      <c r="AT195" s="36">
        <f t="shared" si="95"/>
        <v>0.1810030746292975</v>
      </c>
      <c r="AU195" s="4">
        <f t="shared" si="96"/>
        <v>30.011815784729727</v>
      </c>
      <c r="AV195" s="4">
        <f t="shared" si="97"/>
        <v>0.21049626295864854</v>
      </c>
      <c r="AW195" s="4">
        <f t="shared" si="98"/>
        <v>0.014122552666129329</v>
      </c>
      <c r="AX195" s="21">
        <f t="shared" si="138"/>
        <v>21.384999999999998</v>
      </c>
      <c r="AY195" s="36">
        <f t="shared" si="99"/>
        <v>-0.12616519174041296</v>
      </c>
      <c r="AZ195" s="36">
        <f t="shared" si="100"/>
        <v>-0.34261104240256357</v>
      </c>
      <c r="BA195" s="36">
        <f t="shared" si="101"/>
        <v>-0.050833333333333335</v>
      </c>
      <c r="BB195" s="6">
        <f t="shared" si="115"/>
        <v>0.2874475504239427</v>
      </c>
      <c r="BC195" s="6">
        <f t="shared" si="125"/>
        <v>0.00746531435400577</v>
      </c>
      <c r="BD195" s="4">
        <f t="shared" si="116"/>
        <v>0.7979382024184642</v>
      </c>
      <c r="BE195" s="4">
        <f>SUMPRODUCT(BC$4:BC195,$BD$163:BD$354)</f>
        <v>0.16236437203666132</v>
      </c>
      <c r="BF195" s="23">
        <f t="shared" si="117"/>
        <v>0.16236437203666132</v>
      </c>
      <c r="BG195" s="48"/>
    </row>
    <row r="196" spans="5:59" ht="15">
      <c r="E196" s="1">
        <f t="shared" si="118"/>
        <v>192</v>
      </c>
      <c r="F196" s="1">
        <f t="shared" si="102"/>
        <v>1942</v>
      </c>
      <c r="G196" s="3">
        <f t="shared" si="132"/>
        <v>0.5190000000000002</v>
      </c>
      <c r="H196" s="3">
        <f t="shared" si="133"/>
        <v>0.20380000000000048</v>
      </c>
      <c r="I196" s="5">
        <f t="shared" si="103"/>
        <v>0.16200245255940526</v>
      </c>
      <c r="J196" s="5">
        <f t="shared" si="119"/>
        <v>0.23968519316991121</v>
      </c>
      <c r="K196" s="4">
        <f t="shared" si="104"/>
        <v>0.3211123542706843</v>
      </c>
      <c r="L196" s="4">
        <f t="shared" si="105"/>
        <v>0.0006089539343178979</v>
      </c>
      <c r="M196" s="4">
        <f aca="true" t="shared" si="140" ref="M196:M259">60*$B$8*LN(U196/$U$4)</f>
        <v>1.0801714501285455</v>
      </c>
      <c r="N196" s="4">
        <f t="shared" si="106"/>
        <v>0.0006577746542936468</v>
      </c>
      <c r="O196" s="4">
        <f>SUMPRODUCT($M$4:M196,L$162:$L$354)</f>
        <v>0.7362402433449281</v>
      </c>
      <c r="P196" s="4">
        <f t="shared" si="107"/>
        <v>0.34393120678361744</v>
      </c>
      <c r="Q196" s="4">
        <f t="shared" si="120"/>
        <v>10.36625983710861</v>
      </c>
      <c r="R196" s="4">
        <f t="shared" si="121"/>
        <v>13.929126975642856</v>
      </c>
      <c r="S196" s="4">
        <f t="shared" si="126"/>
        <v>0.04475812857305917</v>
      </c>
      <c r="T196" s="5">
        <f t="shared" si="122"/>
        <v>295.95478417981184</v>
      </c>
      <c r="U196" s="4">
        <f t="shared" si="108"/>
        <v>298.12633202993123</v>
      </c>
      <c r="V196" s="4">
        <f aca="true" t="shared" si="141" ref="V196:V259">J196*S196</f>
        <v>0.01072786069295741</v>
      </c>
      <c r="W196" s="4">
        <f>SUMPRODUCT($J$4:J196,$S$162:S$354)</f>
        <v>1.6616126617594835</v>
      </c>
      <c r="X196" s="6">
        <f t="shared" si="134"/>
        <v>0.33559333671241104</v>
      </c>
      <c r="Y196" s="4">
        <f t="shared" si="110"/>
        <v>1942</v>
      </c>
      <c r="Z196" s="4">
        <f t="shared" si="123"/>
        <v>192</v>
      </c>
      <c r="AA196" s="21">
        <f t="shared" si="111"/>
        <v>71.03999999999999</v>
      </c>
      <c r="AB196" s="6">
        <f t="shared" si="112"/>
        <v>177.3753745</v>
      </c>
      <c r="AC196" s="24">
        <f aca="true" t="shared" si="142" ref="AC196:AC253">AF196/AD196</f>
        <v>172.43624270302269</v>
      </c>
      <c r="AD196" s="4">
        <f aca="true" t="shared" si="143" ref="AD196:AD253">1/AS196</f>
        <v>7.168909518238689</v>
      </c>
      <c r="AE196" s="4">
        <f aca="true" t="shared" si="144" ref="AE196:AE253">AB196-AC196</f>
        <v>4.939131796977307</v>
      </c>
      <c r="AF196" s="6">
        <f t="shared" si="137"/>
        <v>1236.1798216030159</v>
      </c>
      <c r="AG196" s="30">
        <f t="shared" si="127"/>
        <v>0.284976042515324</v>
      </c>
      <c r="AH196" s="21">
        <f t="shared" si="130"/>
        <v>0.81759972</v>
      </c>
      <c r="AI196" s="47">
        <f t="shared" si="113"/>
        <v>2.79259972</v>
      </c>
      <c r="AJ196" s="4">
        <f aca="true" t="shared" si="145" ref="AJ196:AJ252">AM196/AK196</f>
        <v>2.1789098673954745</v>
      </c>
      <c r="AK196" s="4">
        <f aca="true" t="shared" si="146" ref="AK196:AK253">120*(AI196/$AI$254)^-0.055</f>
        <v>121.36516027895192</v>
      </c>
      <c r="AL196" s="4">
        <f aca="true" t="shared" si="147" ref="AL196:AL253">AI196-AJ196</f>
        <v>0.6136898526045256</v>
      </c>
      <c r="AM196" s="5">
        <f t="shared" si="124"/>
        <v>264.4437452898416</v>
      </c>
      <c r="AN196" s="26">
        <f t="shared" si="114"/>
        <v>-0.02768353310309024</v>
      </c>
      <c r="AO196" s="4">
        <f aca="true" t="shared" si="148" ref="AO196:AO253">EXP(AT196)</f>
        <v>1.195856766559101</v>
      </c>
      <c r="AP196" s="21">
        <f t="shared" si="135"/>
        <v>18.400000000000002</v>
      </c>
      <c r="AQ196" s="21">
        <f t="shared" si="139"/>
        <v>449.5</v>
      </c>
      <c r="AR196" s="21">
        <f t="shared" si="136"/>
        <v>60.36</v>
      </c>
      <c r="AS196" s="35">
        <f aca="true" t="shared" si="149" ref="AS196:AS253">AO196/9.58+1/68.2</f>
        <v>0.13949122909919046</v>
      </c>
      <c r="AT196" s="36">
        <f aca="true" t="shared" si="150" ref="AT196:AT253">-0.32*LN(AF196/$AF$254)+0.0042*(AI196-$AI$254)-0.000105*(AQ196-$AQ$254)-0.000315*(AR196-$AR$254)</f>
        <v>0.17886288795450087</v>
      </c>
      <c r="AU196" s="4">
        <f aca="true" t="shared" si="151" ref="AU196:AU247">$AU$254+5*LN(AF196/$AF$254)+0.125*(AP196-$AP$254)+0.0011*(AQ196-$AQ$254)+0.0033*(AR196-$AR$254)</f>
        <v>30.066673482335922</v>
      </c>
      <c r="AV196" s="4">
        <f aca="true" t="shared" si="152" ref="AV196:AV253">0.042*(AU196-$B$14)</f>
        <v>0.21280028625810873</v>
      </c>
      <c r="AW196" s="4">
        <f aca="true" t="shared" si="153" ref="AW196:AW253">0.05*0.036*(SQRT(AF196)-SQRT($B$12))</f>
        <v>0.014248802125766201</v>
      </c>
      <c r="AX196" s="21">
        <f t="shared" si="138"/>
        <v>21.619999999999997</v>
      </c>
      <c r="AY196" s="36">
        <f aca="true" t="shared" si="154" ref="AY196:AY253">-0.4*(AX196/$AX$254)</f>
        <v>-0.12755162241887905</v>
      </c>
      <c r="AZ196" s="36">
        <f aca="true" t="shared" si="155" ref="AZ196:AZ259">-0.8*LN(($B$15+AX196)/$B$15)*(LN(($B$15+$AX$254)/$B$15))^-1</f>
        <v>-0.34569173412503407</v>
      </c>
      <c r="BA196" s="36">
        <f aca="true" t="shared" si="156" ref="BA196:BA253">-0.1*(AQ196/$AQ$254)</f>
        <v>-0.05166666666666667</v>
      </c>
      <c r="BB196" s="6">
        <f t="shared" si="115"/>
        <v>0.29502491129793995</v>
      </c>
      <c r="BC196" s="6">
        <f t="shared" si="125"/>
        <v>0.007577360873997241</v>
      </c>
      <c r="BD196" s="4">
        <f t="shared" si="116"/>
        <v>0.7974776567388213</v>
      </c>
      <c r="BE196" s="4">
        <f>SUMPRODUCT(BC$4:BC196,$BD$162:BD$354)</f>
        <v>0.16664631633733895</v>
      </c>
      <c r="BF196" s="23">
        <f t="shared" si="117"/>
        <v>0.16664631633733895</v>
      </c>
      <c r="BG196" s="48"/>
    </row>
    <row r="197" spans="5:59" ht="15">
      <c r="E197" s="1">
        <f t="shared" si="118"/>
        <v>193</v>
      </c>
      <c r="F197" s="1">
        <f aca="true" t="shared" si="157" ref="F197:F260">1750+E197</f>
        <v>1943</v>
      </c>
      <c r="G197" s="3">
        <f t="shared" si="132"/>
        <v>0.5260000000000002</v>
      </c>
      <c r="H197" s="3">
        <f t="shared" si="133"/>
        <v>0.2052000000000005</v>
      </c>
      <c r="I197" s="5">
        <f aca="true" t="shared" si="158" ref="I197:I260">P197/2.123</f>
        <v>0.1642338770228562</v>
      </c>
      <c r="J197" s="5">
        <f t="shared" si="119"/>
        <v>0.24262665871577346</v>
      </c>
      <c r="K197" s="4">
        <f aca="true" t="shared" si="159" ref="K197:K260">G197+H197-I197-J197</f>
        <v>0.32433946426137106</v>
      </c>
      <c r="L197" s="4">
        <f aca="true" t="shared" si="160" ref="L197:L260">0.70211*EXP(-0.35*(350-E197))+0.013414*EXP(-(350-E197)/20)-0.71846*EXP(-55*(350-E197)/120)+0.0029323*EXP(-(350-E197)/100)</f>
        <v>0.0006152790211276335</v>
      </c>
      <c r="M197" s="4">
        <f t="shared" si="140"/>
        <v>1.0987091582651434</v>
      </c>
      <c r="N197" s="4">
        <f aca="true" t="shared" si="161" ref="N197:N260">L197*M197</f>
        <v>0.0006760126954013436</v>
      </c>
      <c r="O197" s="4">
        <f>SUMPRODUCT($M$4:M197,L$161:$L$354)</f>
        <v>0.7500406373456197</v>
      </c>
      <c r="P197" s="4">
        <f aca="true" t="shared" si="162" ref="P197:P260">M197-O197</f>
        <v>0.3486685209195237</v>
      </c>
      <c r="Q197" s="4">
        <f t="shared" si="120"/>
        <v>10.538847158562913</v>
      </c>
      <c r="R197" s="4">
        <f t="shared" si="121"/>
        <v>14.168287784882969</v>
      </c>
      <c r="S197" s="4">
        <f t="shared" si="126"/>
        <v>0.044892463988677675</v>
      </c>
      <c r="T197" s="5">
        <f t="shared" si="122"/>
        <v>296.249246856237</v>
      </c>
      <c r="U197" s="4">
        <f aca="true" t="shared" si="163" ref="U197:U260">U196+K196</f>
        <v>298.4474443842019</v>
      </c>
      <c r="V197" s="4">
        <f t="shared" si="141"/>
        <v>0.010892108539091049</v>
      </c>
      <c r="W197" s="4">
        <f>SUMPRODUCT($J$4:J197,$S$161:S$354)</f>
        <v>1.6890190028533538</v>
      </c>
      <c r="X197" s="6">
        <f t="shared" si="134"/>
        <v>0.34135272919387444</v>
      </c>
      <c r="Y197" s="4">
        <f aca="true" t="shared" si="164" ref="Y197:Y260">1750+Z197</f>
        <v>1943</v>
      </c>
      <c r="Z197" s="4">
        <f t="shared" si="123"/>
        <v>193</v>
      </c>
      <c r="AA197" s="21">
        <f aca="true" t="shared" si="165" ref="AA197:AA204">0.37*Z197</f>
        <v>71.41</v>
      </c>
      <c r="AB197" s="6">
        <f aca="true" t="shared" si="166" ref="AB197:AB260">AA197+$B$16</f>
        <v>177.7453745</v>
      </c>
      <c r="AC197" s="24">
        <f t="shared" si="142"/>
        <v>172.7942978824329</v>
      </c>
      <c r="AD197" s="4">
        <f t="shared" si="143"/>
        <v>7.182638366020823</v>
      </c>
      <c r="AE197" s="4">
        <f t="shared" si="144"/>
        <v>4.951076617567111</v>
      </c>
      <c r="AF197" s="6">
        <f t="shared" si="137"/>
        <v>1241.1189533999932</v>
      </c>
      <c r="AG197" s="30">
        <f t="shared" si="127"/>
        <v>0.28750213437833727</v>
      </c>
      <c r="AH197" s="21">
        <f t="shared" si="130"/>
        <v>0.83706638</v>
      </c>
      <c r="AI197" s="47">
        <f aca="true" t="shared" si="167" ref="AI197:AI260">AH197+$B$17</f>
        <v>2.81206638</v>
      </c>
      <c r="AJ197" s="4">
        <f t="shared" si="145"/>
        <v>2.1848009988030714</v>
      </c>
      <c r="AK197" s="4">
        <f t="shared" si="146"/>
        <v>121.31879987589537</v>
      </c>
      <c r="AL197" s="4">
        <f t="shared" si="147"/>
        <v>0.6272653811969287</v>
      </c>
      <c r="AM197" s="5">
        <f t="shared" si="124"/>
        <v>265.05743514244614</v>
      </c>
      <c r="AN197" s="26">
        <f aca="true" t="shared" si="168" ref="AN197:AN260">0.12*(SQRT(AM197)-SQRT($B$13))</f>
        <v>-0.025420547468414868</v>
      </c>
      <c r="AO197" s="4">
        <f t="shared" si="148"/>
        <v>1.1933025218707252</v>
      </c>
      <c r="AP197" s="21">
        <f t="shared" si="135"/>
        <v>18.6</v>
      </c>
      <c r="AQ197" s="21">
        <f t="shared" si="139"/>
        <v>456.75</v>
      </c>
      <c r="AR197" s="21">
        <f t="shared" si="136"/>
        <v>60.94</v>
      </c>
      <c r="AS197" s="35">
        <f t="shared" si="149"/>
        <v>0.13922460648036208</v>
      </c>
      <c r="AT197" s="36">
        <f t="shared" si="150"/>
        <v>0.17672469174976263</v>
      </c>
      <c r="AU197" s="4">
        <f t="shared" si="151"/>
        <v>30.121500078847465</v>
      </c>
      <c r="AV197" s="4">
        <f t="shared" si="152"/>
        <v>0.21510300331159354</v>
      </c>
      <c r="AW197" s="4">
        <f t="shared" si="153"/>
        <v>0.014375106718916864</v>
      </c>
      <c r="AX197" s="21">
        <f t="shared" si="138"/>
        <v>21.855</v>
      </c>
      <c r="AY197" s="36">
        <f t="shared" si="154"/>
        <v>-0.12893805309734516</v>
      </c>
      <c r="AZ197" s="36">
        <f t="shared" si="155"/>
        <v>-0.3487610673191959</v>
      </c>
      <c r="BA197" s="36">
        <f t="shared" si="156"/>
        <v>-0.052500000000000005</v>
      </c>
      <c r="BB197" s="6">
        <f aca="true" t="shared" si="169" ref="BB197:BB219">BA197+AZ197+AY197+AW197+AV197+AN197+AG197+X197</f>
        <v>0.30271330571776617</v>
      </c>
      <c r="BC197" s="6">
        <f t="shared" si="125"/>
        <v>0.007688394419826217</v>
      </c>
      <c r="BD197" s="4">
        <f aca="true" t="shared" si="170" ref="BD197:BD260">0.29*(1-EXP(-(350-E197)/440))+0.71*(1-EXP(-(350-E197)/14.4))</f>
        <v>0.7970160062142313</v>
      </c>
      <c r="BE197" s="4">
        <f>SUMPRODUCT(BC$4:BC197,$BD$161:BD$354)</f>
        <v>0.1710192962164573</v>
      </c>
      <c r="BF197" s="23">
        <f aca="true" t="shared" si="171" ref="BF197:BF258">BE197*$B$7</f>
        <v>0.1710192962164573</v>
      </c>
      <c r="BG197" s="48"/>
    </row>
    <row r="198" spans="5:59" ht="15">
      <c r="E198" s="1">
        <f aca="true" t="shared" si="172" ref="E198:E261">E197+1</f>
        <v>194</v>
      </c>
      <c r="F198" s="1">
        <f t="shared" si="157"/>
        <v>1944</v>
      </c>
      <c r="G198" s="3">
        <f t="shared" si="132"/>
        <v>0.5330000000000003</v>
      </c>
      <c r="H198" s="3">
        <f t="shared" si="133"/>
        <v>0.2066000000000005</v>
      </c>
      <c r="I198" s="5">
        <f t="shared" si="158"/>
        <v>0.16647087870068752</v>
      </c>
      <c r="J198" s="5">
        <f aca="true" t="shared" si="173" ref="J198:J259">(U198-T198)/9.06</f>
        <v>0.24556936435944343</v>
      </c>
      <c r="K198" s="4">
        <f t="shared" si="159"/>
        <v>0.3275597569398697</v>
      </c>
      <c r="L198" s="4">
        <f t="shared" si="160"/>
        <v>0.0006216781865900372</v>
      </c>
      <c r="M198" s="4">
        <f t="shared" si="140"/>
        <v>1.1174129302123366</v>
      </c>
      <c r="N198" s="4">
        <f t="shared" si="161"/>
        <v>0.0006946712441266652</v>
      </c>
      <c r="O198" s="4">
        <f>SUMPRODUCT($M$4:M198,L$160:$L$354)</f>
        <v>0.7639952547307769</v>
      </c>
      <c r="P198" s="4">
        <f t="shared" si="162"/>
        <v>0.35341767548155967</v>
      </c>
      <c r="Q198" s="4">
        <f aca="true" t="shared" si="174" ref="Q198:Q260">($B$5/($B$4*$B$6))*W197</f>
        <v>10.712673012572653</v>
      </c>
      <c r="R198" s="4">
        <f aca="true" t="shared" si="175" ref="R198:R261">(1.558-1.399*$B$3*0.01)*Q198+(7.4706-0.20207*$B$3)*0.001*Q198^2-(1.2748-0.12015*$B$3)*0.00001*Q198^3+(2.4491-0.12639*$B$3)*0.0000001*Q198^4-(1.5468-0.15326*$B$3)*0.0000000001*Q198^5</f>
        <v>14.409411315793225</v>
      </c>
      <c r="S198" s="4">
        <f t="shared" si="126"/>
        <v>0.04502800572884953</v>
      </c>
      <c r="T198" s="5">
        <f aca="true" t="shared" si="176" ref="T198:T261">($T$4+R198)*EXP(0.0423*BF197)</f>
        <v>296.5469254073667</v>
      </c>
      <c r="U198" s="4">
        <f t="shared" si="163"/>
        <v>298.77178384846326</v>
      </c>
      <c r="V198" s="4">
        <f t="shared" si="141"/>
        <v>0.011057498745206958</v>
      </c>
      <c r="W198" s="4">
        <f>SUMPRODUCT($J$4:J198,$S$160:S$354)</f>
        <v>1.716619327769819</v>
      </c>
      <c r="X198" s="6">
        <f t="shared" si="134"/>
        <v>0.34716371525180023</v>
      </c>
      <c r="Y198" s="4">
        <f t="shared" si="164"/>
        <v>1944</v>
      </c>
      <c r="Z198" s="4">
        <f aca="true" t="shared" si="177" ref="Z198:Z261">Z197+1</f>
        <v>194</v>
      </c>
      <c r="AA198" s="21">
        <f t="shared" si="165"/>
        <v>71.78</v>
      </c>
      <c r="AB198" s="6">
        <f t="shared" si="166"/>
        <v>178.1153745</v>
      </c>
      <c r="AC198" s="24">
        <f t="shared" si="142"/>
        <v>173.1523985558186</v>
      </c>
      <c r="AD198" s="4">
        <f t="shared" si="143"/>
        <v>7.196377528757528</v>
      </c>
      <c r="AE198" s="4">
        <f t="shared" si="144"/>
        <v>4.962975944181409</v>
      </c>
      <c r="AF198" s="6">
        <f t="shared" si="137"/>
        <v>1246.0700300175604</v>
      </c>
      <c r="AG198" s="30">
        <f t="shared" si="127"/>
        <v>0.2900292957370259</v>
      </c>
      <c r="AH198" s="21">
        <f t="shared" si="130"/>
        <v>0.85653304</v>
      </c>
      <c r="AI198" s="47">
        <f t="shared" si="167"/>
        <v>2.83153304</v>
      </c>
      <c r="AJ198" s="4">
        <f t="shared" si="145"/>
        <v>2.190802482431435</v>
      </c>
      <c r="AK198" s="4">
        <f t="shared" si="146"/>
        <v>121.27277682686218</v>
      </c>
      <c r="AL198" s="4">
        <f t="shared" si="147"/>
        <v>0.6407305575685651</v>
      </c>
      <c r="AM198" s="5">
        <f aca="true" t="shared" si="178" ref="AM198:AM253">AM197+AL197</f>
        <v>265.6847005236431</v>
      </c>
      <c r="AN198" s="26">
        <f t="shared" si="168"/>
        <v>-0.023110207668684806</v>
      </c>
      <c r="AO198" s="4">
        <f t="shared" si="148"/>
        <v>1.1907561147679875</v>
      </c>
      <c r="AP198" s="21">
        <f t="shared" si="135"/>
        <v>18.8</v>
      </c>
      <c r="AQ198" s="21">
        <f t="shared" si="139"/>
        <v>464</v>
      </c>
      <c r="AR198" s="21">
        <f t="shared" si="136"/>
        <v>61.519999999999996</v>
      </c>
      <c r="AS198" s="35">
        <f t="shared" si="149"/>
        <v>0.13895880198112015</v>
      </c>
      <c r="AT198" s="36">
        <f t="shared" si="150"/>
        <v>0.17458849590965542</v>
      </c>
      <c r="AU198" s="4">
        <f t="shared" si="151"/>
        <v>30.17629541966164</v>
      </c>
      <c r="AV198" s="4">
        <f t="shared" si="152"/>
        <v>0.21740440762578883</v>
      </c>
      <c r="AW198" s="4">
        <f t="shared" si="153"/>
        <v>0.014501464786851296</v>
      </c>
      <c r="AX198" s="21">
        <f t="shared" si="138"/>
        <v>22.09</v>
      </c>
      <c r="AY198" s="36">
        <f t="shared" si="154"/>
        <v>-0.1303244837758112</v>
      </c>
      <c r="AZ198" s="36">
        <f t="shared" si="155"/>
        <v>-0.35181912543538135</v>
      </c>
      <c r="BA198" s="36">
        <f t="shared" si="156"/>
        <v>-0.05333333333333334</v>
      </c>
      <c r="BB198" s="6">
        <f t="shared" si="169"/>
        <v>0.31051173318825553</v>
      </c>
      <c r="BC198" s="6">
        <f aca="true" t="shared" si="179" ref="BC198:BC261">BB198-BB197</f>
        <v>0.007798427470489366</v>
      </c>
      <c r="BD198" s="4">
        <f t="shared" si="170"/>
        <v>0.7965532442346985</v>
      </c>
      <c r="BE198" s="4">
        <f>SUMPRODUCT(BC$4:BC198,$BD$160:BD$354)</f>
        <v>0.17548286140669572</v>
      </c>
      <c r="BF198" s="23">
        <f t="shared" si="171"/>
        <v>0.17548286140669572</v>
      </c>
      <c r="BG198" s="48"/>
    </row>
    <row r="199" spans="5:59" ht="15">
      <c r="E199" s="1">
        <f t="shared" si="172"/>
        <v>195</v>
      </c>
      <c r="F199" s="1">
        <f t="shared" si="157"/>
        <v>1945</v>
      </c>
      <c r="G199" s="3">
        <f t="shared" si="132"/>
        <v>0.5400000000000003</v>
      </c>
      <c r="H199" s="3">
        <f t="shared" si="133"/>
        <v>0.20800000000000052</v>
      </c>
      <c r="I199" s="5">
        <f t="shared" si="158"/>
        <v>0.16871321319690888</v>
      </c>
      <c r="J199" s="5">
        <f t="shared" si="173"/>
        <v>0.24851331921639702</v>
      </c>
      <c r="K199" s="4">
        <f t="shared" si="159"/>
        <v>0.33077346758669485</v>
      </c>
      <c r="L199" s="4">
        <f t="shared" si="160"/>
        <v>0.0006281527140914409</v>
      </c>
      <c r="M199" s="4">
        <f t="shared" si="140"/>
        <v>1.1362818112131698</v>
      </c>
      <c r="N199" s="4">
        <f t="shared" si="161"/>
        <v>0.0007137585036862909</v>
      </c>
      <c r="O199" s="4">
        <f>SUMPRODUCT($M$4:M199,L$159:$L$354)</f>
        <v>0.7781036595961323</v>
      </c>
      <c r="P199" s="4">
        <f t="shared" si="162"/>
        <v>0.3581781516170376</v>
      </c>
      <c r="Q199" s="4">
        <f t="shared" si="174"/>
        <v>10.887729217015206</v>
      </c>
      <c r="R199" s="4">
        <f t="shared" si="175"/>
        <v>14.652491802585146</v>
      </c>
      <c r="S199" s="4">
        <f t="shared" si="126"/>
        <v>0.04516477026922382</v>
      </c>
      <c r="T199" s="5">
        <f t="shared" si="176"/>
        <v>296.8478129333026</v>
      </c>
      <c r="U199" s="4">
        <f t="shared" si="163"/>
        <v>299.09934360540313</v>
      </c>
      <c r="V199" s="4">
        <f t="shared" si="141"/>
        <v>0.011224046971250855</v>
      </c>
      <c r="W199" s="4">
        <f>SUMPRODUCT($J$4:J199,$S$159:S$354)</f>
        <v>1.744412387865904</v>
      </c>
      <c r="X199" s="6">
        <f t="shared" si="134"/>
        <v>0.35302599825728564</v>
      </c>
      <c r="Y199" s="4">
        <f t="shared" si="164"/>
        <v>1945</v>
      </c>
      <c r="Z199" s="4">
        <f t="shared" si="177"/>
        <v>195</v>
      </c>
      <c r="AA199" s="21">
        <f t="shared" si="165"/>
        <v>72.15</v>
      </c>
      <c r="AB199" s="6">
        <f t="shared" si="166"/>
        <v>178.4853745</v>
      </c>
      <c r="AC199" s="24">
        <f t="shared" si="142"/>
        <v>173.51053876240928</v>
      </c>
      <c r="AD199" s="4">
        <f t="shared" si="143"/>
        <v>7.210126917275042</v>
      </c>
      <c r="AE199" s="4">
        <f t="shared" si="144"/>
        <v>4.974835737590723</v>
      </c>
      <c r="AF199" s="6">
        <f t="shared" si="137"/>
        <v>1251.0330059617418</v>
      </c>
      <c r="AG199" s="30">
        <f t="shared" si="127"/>
        <v>0.2925574970713021</v>
      </c>
      <c r="AH199" s="21">
        <f t="shared" si="130"/>
        <v>0.8759997</v>
      </c>
      <c r="AI199" s="47">
        <f t="shared" si="167"/>
        <v>2.8509997</v>
      </c>
      <c r="AJ199" s="4">
        <f t="shared" si="145"/>
        <v>2.196913569629759</v>
      </c>
      <c r="AK199" s="4">
        <f t="shared" si="146"/>
        <v>121.22708638287256</v>
      </c>
      <c r="AL199" s="4">
        <f t="shared" si="147"/>
        <v>0.6540861303702412</v>
      </c>
      <c r="AM199" s="5">
        <f t="shared" si="178"/>
        <v>266.32543108121166</v>
      </c>
      <c r="AN199" s="26">
        <f t="shared" si="168"/>
        <v>-0.020753087021011394</v>
      </c>
      <c r="AO199" s="4">
        <f t="shared" si="148"/>
        <v>1.188217527808285</v>
      </c>
      <c r="AP199" s="21">
        <f t="shared" si="135"/>
        <v>19</v>
      </c>
      <c r="AQ199" s="21">
        <f t="shared" si="139"/>
        <v>471.25</v>
      </c>
      <c r="AR199" s="21">
        <f t="shared" si="136"/>
        <v>62.099999999999994</v>
      </c>
      <c r="AS199" s="35">
        <f t="shared" si="149"/>
        <v>0.13869381378073367</v>
      </c>
      <c r="AT199" s="36">
        <f t="shared" si="150"/>
        <v>0.1724543083946504</v>
      </c>
      <c r="AU199" s="4">
        <f t="shared" si="151"/>
        <v>30.231059380396083</v>
      </c>
      <c r="AV199" s="4">
        <f t="shared" si="152"/>
        <v>0.2197044939766355</v>
      </c>
      <c r="AW199" s="4">
        <f t="shared" si="153"/>
        <v>0.014627874853565105</v>
      </c>
      <c r="AX199" s="21">
        <f aca="true" t="shared" si="180" ref="AX199:AX204">0.235*(Z199-$Z$104)</f>
        <v>22.325</v>
      </c>
      <c r="AY199" s="36">
        <f t="shared" si="154"/>
        <v>-0.1317109144542773</v>
      </c>
      <c r="AZ199" s="36">
        <f t="shared" si="155"/>
        <v>-0.35486599100763183</v>
      </c>
      <c r="BA199" s="36">
        <f t="shared" si="156"/>
        <v>-0.05416666666666667</v>
      </c>
      <c r="BB199" s="6">
        <f t="shared" si="169"/>
        <v>0.31841920500920107</v>
      </c>
      <c r="BC199" s="6">
        <f t="shared" si="179"/>
        <v>0.007907471820945533</v>
      </c>
      <c r="BD199" s="4">
        <f t="shared" si="170"/>
        <v>0.7960893638806246</v>
      </c>
      <c r="BE199" s="4">
        <f>SUMPRODUCT(BC$4:BC199,$BD$159:BD$354)</f>
        <v>0.18003654760137983</v>
      </c>
      <c r="BF199" s="23">
        <f t="shared" si="171"/>
        <v>0.18003654760137983</v>
      </c>
      <c r="BG199" s="48"/>
    </row>
    <row r="200" spans="5:59" ht="15">
      <c r="E200" s="1">
        <f t="shared" si="172"/>
        <v>196</v>
      </c>
      <c r="F200" s="1">
        <f t="shared" si="157"/>
        <v>1946</v>
      </c>
      <c r="G200" s="3">
        <f t="shared" si="132"/>
        <v>0.5470000000000003</v>
      </c>
      <c r="H200" s="3">
        <f t="shared" si="133"/>
        <v>0.20940000000000053</v>
      </c>
      <c r="I200" s="5">
        <f t="shared" si="158"/>
        <v>0.17096064309968398</v>
      </c>
      <c r="J200" s="5">
        <f t="shared" si="173"/>
        <v>0.2514585330133086</v>
      </c>
      <c r="K200" s="4">
        <f t="shared" si="159"/>
        <v>0.3339808238870083</v>
      </c>
      <c r="L200" s="4">
        <f t="shared" si="160"/>
        <v>0.000634703927545571</v>
      </c>
      <c r="M200" s="4">
        <f t="shared" si="140"/>
        <v>1.1553148582590427</v>
      </c>
      <c r="N200" s="4">
        <f t="shared" si="161"/>
        <v>0.000733282878088769</v>
      </c>
      <c r="O200" s="4">
        <f>SUMPRODUCT($M$4:M200,L$158:$L$354)</f>
        <v>0.7923654129584136</v>
      </c>
      <c r="P200" s="4">
        <f t="shared" si="162"/>
        <v>0.3629494453006291</v>
      </c>
      <c r="Q200" s="4">
        <f t="shared" si="174"/>
        <v>11.064007852320762</v>
      </c>
      <c r="R200" s="4">
        <f t="shared" si="175"/>
        <v>14.89752384886557</v>
      </c>
      <c r="S200" s="4">
        <f aca="true" t="shared" si="181" ref="S200:S263">0.022936+0.24278*EXP(-(350-E200)/1.2679)+0.13963*EXP(-(350-E200)/5.2528)+0.089318*EXP(-(350-E200)/18.601)+0.03782*EXP(-(350-E200)/68.736)+0.035549*EXP(-(350-E200)/232.3)</f>
        <v>0.04530277443692034</v>
      </c>
      <c r="T200" s="5">
        <f t="shared" si="176"/>
        <v>297.15190276388927</v>
      </c>
      <c r="U200" s="4">
        <f t="shared" si="163"/>
        <v>299.43011707298984</v>
      </c>
      <c r="V200" s="4">
        <f t="shared" si="141"/>
        <v>0.011391769201340806</v>
      </c>
      <c r="W200" s="4">
        <f>SUMPRODUCT($J$4:J200,$S$158:S$354)</f>
        <v>1.7723969745514108</v>
      </c>
      <c r="X200" s="6">
        <f t="shared" si="134"/>
        <v>0.35893928523146795</v>
      </c>
      <c r="Y200" s="4">
        <f t="shared" si="164"/>
        <v>1946</v>
      </c>
      <c r="Z200" s="4">
        <f t="shared" si="177"/>
        <v>196</v>
      </c>
      <c r="AA200" s="21">
        <f t="shared" si="165"/>
        <v>72.52</v>
      </c>
      <c r="AB200" s="6">
        <f t="shared" si="166"/>
        <v>178.85537449999998</v>
      </c>
      <c r="AC200" s="24">
        <f t="shared" si="142"/>
        <v>173.86871317332032</v>
      </c>
      <c r="AD200" s="4">
        <f t="shared" si="143"/>
        <v>7.223886453034745</v>
      </c>
      <c r="AE200" s="4">
        <f t="shared" si="144"/>
        <v>4.986661326679666</v>
      </c>
      <c r="AF200" s="6">
        <f t="shared" si="137"/>
        <v>1256.0078416993324</v>
      </c>
      <c r="AG200" s="30">
        <f aca="true" t="shared" si="182" ref="AG200:AG263">0.036*(SQRT(AF200)-SQRT($B$12))</f>
        <v>0.2950867121199341</v>
      </c>
      <c r="AH200" s="21">
        <f t="shared" si="130"/>
        <v>0.89546636</v>
      </c>
      <c r="AI200" s="47">
        <f t="shared" si="167"/>
        <v>2.87046636</v>
      </c>
      <c r="AJ200" s="4">
        <f t="shared" si="145"/>
        <v>2.2031335141417534</v>
      </c>
      <c r="AK200" s="4">
        <f t="shared" si="146"/>
        <v>121.18172389365412</v>
      </c>
      <c r="AL200" s="4">
        <f t="shared" si="147"/>
        <v>0.6673328458582466</v>
      </c>
      <c r="AM200" s="5">
        <f t="shared" si="178"/>
        <v>266.9795172115819</v>
      </c>
      <c r="AN200" s="26">
        <f t="shared" si="168"/>
        <v>-0.018349756712450472</v>
      </c>
      <c r="AO200" s="4">
        <f t="shared" si="148"/>
        <v>1.1856867415374097</v>
      </c>
      <c r="AP200" s="21">
        <f t="shared" si="135"/>
        <v>19.200000000000003</v>
      </c>
      <c r="AQ200" s="21">
        <f t="shared" si="139"/>
        <v>478.5</v>
      </c>
      <c r="AR200" s="21">
        <f t="shared" si="136"/>
        <v>62.67999999999999</v>
      </c>
      <c r="AS200" s="35">
        <f t="shared" si="149"/>
        <v>0.138429639848492</v>
      </c>
      <c r="AT200" s="36">
        <f t="shared" si="150"/>
        <v>0.17032213544872707</v>
      </c>
      <c r="AU200" s="4">
        <f t="shared" si="151"/>
        <v>30.28579186348864</v>
      </c>
      <c r="AV200" s="4">
        <f t="shared" si="152"/>
        <v>0.2220032582665229</v>
      </c>
      <c r="AW200" s="4">
        <f t="shared" si="153"/>
        <v>0.014754335605996706</v>
      </c>
      <c r="AX200" s="21">
        <f t="shared" si="180"/>
        <v>22.56</v>
      </c>
      <c r="AY200" s="36">
        <f t="shared" si="154"/>
        <v>-0.13309734513274338</v>
      </c>
      <c r="AZ200" s="36">
        <f t="shared" si="155"/>
        <v>-0.3579017456670633</v>
      </c>
      <c r="BA200" s="36">
        <f t="shared" si="156"/>
        <v>-0.05500000000000001</v>
      </c>
      <c r="BB200" s="6">
        <f t="shared" si="169"/>
        <v>0.3264347437116645</v>
      </c>
      <c r="BC200" s="6">
        <f t="shared" si="179"/>
        <v>0.00801553870246341</v>
      </c>
      <c r="BD200" s="4">
        <f t="shared" si="170"/>
        <v>0.7956243579009213</v>
      </c>
      <c r="BE200" s="4">
        <f>SUMPRODUCT(BC$4:BC200,$BD$158:BD$354)</f>
        <v>0.18467987791401502</v>
      </c>
      <c r="BF200" s="23">
        <f t="shared" si="171"/>
        <v>0.18467987791401502</v>
      </c>
      <c r="BG200" s="48"/>
    </row>
    <row r="201" spans="5:59" ht="15">
      <c r="E201" s="1">
        <f t="shared" si="172"/>
        <v>197</v>
      </c>
      <c r="F201" s="1">
        <f t="shared" si="157"/>
        <v>1947</v>
      </c>
      <c r="G201" s="3">
        <f t="shared" si="132"/>
        <v>0.5540000000000003</v>
      </c>
      <c r="H201" s="3">
        <f t="shared" si="133"/>
        <v>0.21080000000000054</v>
      </c>
      <c r="I201" s="5">
        <f t="shared" si="158"/>
        <v>0.17321293768728277</v>
      </c>
      <c r="J201" s="5">
        <f t="shared" si="173"/>
        <v>0.2544050145469044</v>
      </c>
      <c r="K201" s="4">
        <f t="shared" si="159"/>
        <v>0.3371820477658137</v>
      </c>
      <c r="L201" s="4">
        <f t="shared" si="160"/>
        <v>0.0006413331932174323</v>
      </c>
      <c r="M201" s="4">
        <f t="shared" si="140"/>
        <v>1.174511139662411</v>
      </c>
      <c r="N201" s="4">
        <f t="shared" si="161"/>
        <v>0.0007532529796691397</v>
      </c>
      <c r="O201" s="4">
        <f>SUMPRODUCT($M$4:M201,L$157:$L$354)</f>
        <v>0.8067800729523097</v>
      </c>
      <c r="P201" s="4">
        <f t="shared" si="162"/>
        <v>0.36773106671010136</v>
      </c>
      <c r="Q201" s="4">
        <f t="shared" si="174"/>
        <v>11.24150125295591</v>
      </c>
      <c r="R201" s="4">
        <f t="shared" si="175"/>
        <v>15.144502416995126</v>
      </c>
      <c r="S201" s="4">
        <f t="shared" si="181"/>
        <v>0.0454420354225184</v>
      </c>
      <c r="T201" s="5">
        <f t="shared" si="176"/>
        <v>297.4591884650819</v>
      </c>
      <c r="U201" s="4">
        <f t="shared" si="163"/>
        <v>299.7640978968769</v>
      </c>
      <c r="V201" s="4">
        <f t="shared" si="141"/>
        <v>0.011560681682706738</v>
      </c>
      <c r="W201" s="4">
        <f>SUMPRODUCT($J$4:J201,$S$157:S$354)</f>
        <v>1.8005719158792182</v>
      </c>
      <c r="X201" s="6">
        <f t="shared" si="134"/>
        <v>0.36490328671277</v>
      </c>
      <c r="Y201" s="4">
        <f t="shared" si="164"/>
        <v>1947</v>
      </c>
      <c r="Z201" s="4">
        <f t="shared" si="177"/>
        <v>197</v>
      </c>
      <c r="AA201" s="21">
        <f t="shared" si="165"/>
        <v>72.89</v>
      </c>
      <c r="AB201" s="6">
        <f t="shared" si="166"/>
        <v>179.2253745</v>
      </c>
      <c r="AC201" s="24">
        <f t="shared" si="142"/>
        <v>174.22691702356224</v>
      </c>
      <c r="AD201" s="4">
        <f t="shared" si="143"/>
        <v>7.237656066975442</v>
      </c>
      <c r="AE201" s="4">
        <f t="shared" si="144"/>
        <v>4.99845747643775</v>
      </c>
      <c r="AF201" s="6">
        <f t="shared" si="137"/>
        <v>1260.9945030260121</v>
      </c>
      <c r="AG201" s="30">
        <f t="shared" si="182"/>
        <v>0.2976169175282357</v>
      </c>
      <c r="AH201" s="21">
        <f t="shared" si="130"/>
        <v>0.91493302</v>
      </c>
      <c r="AI201" s="47">
        <f t="shared" si="167"/>
        <v>2.88993302</v>
      </c>
      <c r="AJ201" s="4">
        <f t="shared" si="145"/>
        <v>2.2094615721771076</v>
      </c>
      <c r="AK201" s="4">
        <f t="shared" si="146"/>
        <v>121.13668480493759</v>
      </c>
      <c r="AL201" s="4">
        <f t="shared" si="147"/>
        <v>0.6804714478228924</v>
      </c>
      <c r="AM201" s="5">
        <f t="shared" si="178"/>
        <v>267.64685005744013</v>
      </c>
      <c r="AN201" s="26">
        <f t="shared" si="168"/>
        <v>-0.015900785686294085</v>
      </c>
      <c r="AO201" s="4">
        <f t="shared" si="148"/>
        <v>1.1831637347401514</v>
      </c>
      <c r="AP201" s="21">
        <f t="shared" si="135"/>
        <v>19.400000000000002</v>
      </c>
      <c r="AQ201" s="21">
        <f t="shared" si="139"/>
        <v>485.75</v>
      </c>
      <c r="AR201" s="21">
        <f t="shared" si="136"/>
        <v>63.26</v>
      </c>
      <c r="AS201" s="35">
        <f t="shared" si="149"/>
        <v>0.13816627796986378</v>
      </c>
      <c r="AT201" s="36">
        <f t="shared" si="150"/>
        <v>0.1681919817927256</v>
      </c>
      <c r="AU201" s="4">
        <f t="shared" si="151"/>
        <v>30.34049279517616</v>
      </c>
      <c r="AV201" s="4">
        <f t="shared" si="152"/>
        <v>0.22430069739739877</v>
      </c>
      <c r="AW201" s="4">
        <f t="shared" si="153"/>
        <v>0.014880845876411785</v>
      </c>
      <c r="AX201" s="21">
        <f t="shared" si="180"/>
        <v>22.794999999999998</v>
      </c>
      <c r="AY201" s="36">
        <f t="shared" si="154"/>
        <v>-0.13448377581120943</v>
      </c>
      <c r="AZ201" s="36">
        <f t="shared" si="155"/>
        <v>-0.36092647015498985</v>
      </c>
      <c r="BA201" s="36">
        <f t="shared" si="156"/>
        <v>-0.05583333333333334</v>
      </c>
      <c r="BB201" s="6">
        <f t="shared" si="169"/>
        <v>0.3345573825289896</v>
      </c>
      <c r="BC201" s="6">
        <f t="shared" si="179"/>
        <v>0.008122638817325112</v>
      </c>
      <c r="BD201" s="4">
        <f t="shared" si="170"/>
        <v>0.7951582186895503</v>
      </c>
      <c r="BE201" s="4">
        <f>SUMPRODUCT(BC$4:BC201,$BD$157:BD$354)</f>
        <v>0.18941236421330146</v>
      </c>
      <c r="BF201" s="23">
        <f t="shared" si="171"/>
        <v>0.18941236421330146</v>
      </c>
      <c r="BG201" s="48"/>
    </row>
    <row r="202" spans="5:59" ht="15">
      <c r="E202" s="1">
        <f t="shared" si="172"/>
        <v>198</v>
      </c>
      <c r="F202" s="1">
        <f t="shared" si="157"/>
        <v>1948</v>
      </c>
      <c r="G202" s="3">
        <f t="shared" si="132"/>
        <v>0.5610000000000003</v>
      </c>
      <c r="H202" s="3">
        <f t="shared" si="133"/>
        <v>0.21220000000000055</v>
      </c>
      <c r="I202" s="5">
        <f t="shared" si="158"/>
        <v>0.1754698726851653</v>
      </c>
      <c r="J202" s="5">
        <f t="shared" si="173"/>
        <v>0.25735277254344585</v>
      </c>
      <c r="K202" s="4">
        <f t="shared" si="159"/>
        <v>0.3403773547713896</v>
      </c>
      <c r="L202" s="4">
        <f t="shared" si="160"/>
        <v>0.0006480419216381517</v>
      </c>
      <c r="M202" s="4">
        <f t="shared" si="140"/>
        <v>1.1938697347355987</v>
      </c>
      <c r="N202" s="4">
        <f t="shared" si="161"/>
        <v>0.0007736776370836877</v>
      </c>
      <c r="O202" s="4">
        <f>SUMPRODUCT($M$4:M202,L$156:$L$354)</f>
        <v>0.8213471950249926</v>
      </c>
      <c r="P202" s="4">
        <f t="shared" si="162"/>
        <v>0.372522539710606</v>
      </c>
      <c r="Q202" s="4">
        <f t="shared" si="174"/>
        <v>11.420201985797473</v>
      </c>
      <c r="R202" s="4">
        <f t="shared" si="175"/>
        <v>15.393422799148963</v>
      </c>
      <c r="S202" s="4">
        <f t="shared" si="181"/>
        <v>0.045582570792602264</v>
      </c>
      <c r="T202" s="5">
        <f t="shared" si="176"/>
        <v>297.76966382539905</v>
      </c>
      <c r="U202" s="4">
        <f t="shared" si="163"/>
        <v>300.10127994464267</v>
      </c>
      <c r="V202" s="4">
        <f t="shared" si="141"/>
        <v>0.011730800973134088</v>
      </c>
      <c r="W202" s="4">
        <f>SUMPRODUCT($J$4:J202,$S$156:S$354)</f>
        <v>1.828936075011099</v>
      </c>
      <c r="X202" s="6">
        <f t="shared" si="134"/>
        <v>0.3709177166571111</v>
      </c>
      <c r="Y202" s="4">
        <f t="shared" si="164"/>
        <v>1948</v>
      </c>
      <c r="Z202" s="4">
        <f t="shared" si="177"/>
        <v>198</v>
      </c>
      <c r="AA202" s="21">
        <f t="shared" si="165"/>
        <v>73.26</v>
      </c>
      <c r="AB202" s="6">
        <f t="shared" si="166"/>
        <v>179.5953745</v>
      </c>
      <c r="AC202" s="24">
        <f t="shared" si="142"/>
        <v>174.58514605147278</v>
      </c>
      <c r="AD202" s="4">
        <f t="shared" si="143"/>
        <v>7.251435698482609</v>
      </c>
      <c r="AE202" s="4">
        <f t="shared" si="144"/>
        <v>5.010228448527215</v>
      </c>
      <c r="AF202" s="6">
        <f t="shared" si="137"/>
        <v>1265.99296050245</v>
      </c>
      <c r="AG202" s="30">
        <f t="shared" si="182"/>
        <v>0.30014809253428365</v>
      </c>
      <c r="AH202" s="21">
        <f t="shared" si="130"/>
        <v>0.9343996800000001</v>
      </c>
      <c r="AI202" s="47">
        <f t="shared" si="167"/>
        <v>2.90939968</v>
      </c>
      <c r="AJ202" s="4">
        <f t="shared" si="145"/>
        <v>2.215897002479716</v>
      </c>
      <c r="AK202" s="4">
        <f t="shared" si="146"/>
        <v>121.09196465584334</v>
      </c>
      <c r="AL202" s="4">
        <f t="shared" si="147"/>
        <v>0.6935026775202839</v>
      </c>
      <c r="AM202" s="5">
        <f t="shared" si="178"/>
        <v>268.327321505263</v>
      </c>
      <c r="AN202" s="26">
        <f t="shared" si="168"/>
        <v>-0.013406740531890051</v>
      </c>
      <c r="AO202" s="4">
        <f t="shared" si="148"/>
        <v>1.1806484846623726</v>
      </c>
      <c r="AP202" s="21">
        <f t="shared" si="135"/>
        <v>19.6</v>
      </c>
      <c r="AQ202" s="21">
        <f t="shared" si="139"/>
        <v>493</v>
      </c>
      <c r="AR202" s="21">
        <f t="shared" si="136"/>
        <v>63.839999999999996</v>
      </c>
      <c r="AS202" s="35">
        <f t="shared" si="149"/>
        <v>0.1379037257696781</v>
      </c>
      <c r="AT202" s="36">
        <f t="shared" si="150"/>
        <v>0.16606385079617833</v>
      </c>
      <c r="AU202" s="4">
        <f t="shared" si="151"/>
        <v>30.39516212280971</v>
      </c>
      <c r="AV202" s="4">
        <f t="shared" si="152"/>
        <v>0.2265968091580079</v>
      </c>
      <c r="AW202" s="4">
        <f t="shared" si="153"/>
        <v>0.015007404626714184</v>
      </c>
      <c r="AX202" s="21">
        <f t="shared" si="180"/>
        <v>23.029999999999998</v>
      </c>
      <c r="AY202" s="36">
        <f t="shared" si="154"/>
        <v>-0.13587020648967552</v>
      </c>
      <c r="AZ202" s="36">
        <f t="shared" si="155"/>
        <v>-0.363940244335808</v>
      </c>
      <c r="BA202" s="36">
        <f t="shared" si="156"/>
        <v>-0.05666666666666667</v>
      </c>
      <c r="BB202" s="6">
        <f t="shared" si="169"/>
        <v>0.3427861649520766</v>
      </c>
      <c r="BC202" s="6">
        <f t="shared" si="179"/>
        <v>0.008228782423087</v>
      </c>
      <c r="BD202" s="4">
        <f t="shared" si="170"/>
        <v>0.7946909382603761</v>
      </c>
      <c r="BE202" s="4">
        <f>SUMPRODUCT(BC$4:BC202,$BD$156:BD$354)</f>
        <v>0.1942335083436383</v>
      </c>
      <c r="BF202" s="23">
        <f t="shared" si="171"/>
        <v>0.1942335083436383</v>
      </c>
      <c r="BG202" s="48"/>
    </row>
    <row r="203" spans="5:59" ht="15">
      <c r="E203" s="1">
        <f t="shared" si="172"/>
        <v>199</v>
      </c>
      <c r="F203" s="1">
        <f t="shared" si="157"/>
        <v>1949</v>
      </c>
      <c r="G203" s="3">
        <f t="shared" si="132"/>
        <v>0.5680000000000003</v>
      </c>
      <c r="H203" s="3">
        <f t="shared" si="133"/>
        <v>0.21360000000000057</v>
      </c>
      <c r="I203" s="5">
        <f t="shared" si="158"/>
        <v>0.17773123000695076</v>
      </c>
      <c r="J203" s="5">
        <f t="shared" si="173"/>
        <v>0.2603018147713329</v>
      </c>
      <c r="K203" s="4">
        <f t="shared" si="159"/>
        <v>0.34356695522171715</v>
      </c>
      <c r="L203" s="4">
        <f t="shared" si="160"/>
        <v>0.0006548315696154195</v>
      </c>
      <c r="M203" s="4">
        <f t="shared" si="140"/>
        <v>1.2133897334344208</v>
      </c>
      <c r="N203" s="4">
        <f t="shared" si="161"/>
        <v>0.0007945659037000973</v>
      </c>
      <c r="O203" s="4">
        <f>SUMPRODUCT($M$4:M203,L$155:$L$354)</f>
        <v>0.8360663321296643</v>
      </c>
      <c r="P203" s="4">
        <f t="shared" si="162"/>
        <v>0.3773234013047565</v>
      </c>
      <c r="Q203" s="4">
        <f t="shared" si="174"/>
        <v>11.600102840401888</v>
      </c>
      <c r="R203" s="4">
        <f t="shared" si="175"/>
        <v>15.644280604827879</v>
      </c>
      <c r="S203" s="4">
        <f t="shared" si="181"/>
        <v>0.04572439850289242</v>
      </c>
      <c r="T203" s="5">
        <f t="shared" si="176"/>
        <v>298.08332285758576</v>
      </c>
      <c r="U203" s="4">
        <f t="shared" si="163"/>
        <v>300.44165729941403</v>
      </c>
      <c r="V203" s="4">
        <f t="shared" si="141"/>
        <v>0.011902143909630515</v>
      </c>
      <c r="W203" s="4">
        <f>SUMPRODUCT($J$4:J203,$S$155:S$354)</f>
        <v>1.8574883475717798</v>
      </c>
      <c r="X203" s="6">
        <f t="shared" si="134"/>
        <v>0.3769822923271865</v>
      </c>
      <c r="Y203" s="4">
        <f t="shared" si="164"/>
        <v>1949</v>
      </c>
      <c r="Z203" s="4">
        <f t="shared" si="177"/>
        <v>199</v>
      </c>
      <c r="AA203" s="21">
        <f t="shared" si="165"/>
        <v>73.63</v>
      </c>
      <c r="AB203" s="6">
        <f t="shared" si="166"/>
        <v>179.9653745</v>
      </c>
      <c r="AC203" s="24">
        <f t="shared" si="142"/>
        <v>174.94339644475065</v>
      </c>
      <c r="AD203" s="4">
        <f t="shared" si="143"/>
        <v>7.265225294470467</v>
      </c>
      <c r="AE203" s="4">
        <f t="shared" si="144"/>
        <v>5.021978055249349</v>
      </c>
      <c r="AF203" s="6">
        <f t="shared" si="137"/>
        <v>1271.0031889509771</v>
      </c>
      <c r="AG203" s="30">
        <f t="shared" si="182"/>
        <v>0.302680218689393</v>
      </c>
      <c r="AH203" s="21">
        <f t="shared" si="130"/>
        <v>0.95386634</v>
      </c>
      <c r="AI203" s="47">
        <f t="shared" si="167"/>
        <v>2.92886634</v>
      </c>
      <c r="AJ203" s="4">
        <f t="shared" si="145"/>
        <v>2.2224390663927824</v>
      </c>
      <c r="AK203" s="4">
        <f t="shared" si="146"/>
        <v>121.04755907635666</v>
      </c>
      <c r="AL203" s="4">
        <f t="shared" si="147"/>
        <v>0.7064272736072175</v>
      </c>
      <c r="AM203" s="5">
        <f t="shared" si="178"/>
        <v>269.02082418278326</v>
      </c>
      <c r="AN203" s="26">
        <f t="shared" si="168"/>
        <v>-0.010868185377983793</v>
      </c>
      <c r="AO203" s="4">
        <f t="shared" si="148"/>
        <v>1.178140967207821</v>
      </c>
      <c r="AP203" s="21">
        <f t="shared" si="135"/>
        <v>19.8</v>
      </c>
      <c r="AQ203" s="21">
        <f t="shared" si="139"/>
        <v>500.25</v>
      </c>
      <c r="AR203" s="21">
        <f t="shared" si="136"/>
        <v>64.42</v>
      </c>
      <c r="AS203" s="35">
        <f t="shared" si="149"/>
        <v>0.13764198073266853</v>
      </c>
      <c r="AT203" s="36">
        <f t="shared" si="150"/>
        <v>0.16393774463004301</v>
      </c>
      <c r="AU203" s="4">
        <f t="shared" si="151"/>
        <v>30.449799812468076</v>
      </c>
      <c r="AV203" s="4">
        <f t="shared" si="152"/>
        <v>0.2288915921236592</v>
      </c>
      <c r="AW203" s="4">
        <f t="shared" si="153"/>
        <v>0.015134010934469649</v>
      </c>
      <c r="AX203" s="21">
        <f t="shared" si="180"/>
        <v>23.264999999999997</v>
      </c>
      <c r="AY203" s="36">
        <f t="shared" si="154"/>
        <v>-0.1372566371681416</v>
      </c>
      <c r="AZ203" s="36">
        <f t="shared" si="155"/>
        <v>-0.36694314720965077</v>
      </c>
      <c r="BA203" s="36">
        <f t="shared" si="156"/>
        <v>-0.057499999999999996</v>
      </c>
      <c r="BB203" s="6">
        <f t="shared" si="169"/>
        <v>0.3511201443189322</v>
      </c>
      <c r="BC203" s="6">
        <f t="shared" si="179"/>
        <v>0.008333979366855593</v>
      </c>
      <c r="BD203" s="4">
        <f t="shared" si="170"/>
        <v>0.7942225082202128</v>
      </c>
      <c r="BE203" s="4">
        <f>SUMPRODUCT(BC$4:BC203,$BD$155:BD$354)</f>
        <v>0.19914280324284023</v>
      </c>
      <c r="BF203" s="23">
        <f t="shared" si="171"/>
        <v>0.19914280324284023</v>
      </c>
      <c r="BG203" s="48"/>
    </row>
    <row r="204" spans="5:59" ht="15">
      <c r="E204" s="1">
        <f t="shared" si="172"/>
        <v>200</v>
      </c>
      <c r="F204" s="1">
        <f t="shared" si="157"/>
        <v>1950</v>
      </c>
      <c r="G204" s="3">
        <f t="shared" si="132"/>
        <v>0.5750000000000003</v>
      </c>
      <c r="H204" s="3">
        <f t="shared" si="133"/>
        <v>0.21500000000000058</v>
      </c>
      <c r="I204" s="5">
        <f t="shared" si="158"/>
        <v>0.17999679752854753</v>
      </c>
      <c r="J204" s="5">
        <f t="shared" si="173"/>
        <v>0.26325214851567075</v>
      </c>
      <c r="K204" s="4">
        <f t="shared" si="159"/>
        <v>0.3467510539557827</v>
      </c>
      <c r="L204" s="4">
        <f t="shared" si="160"/>
        <v>0.0006617036423444038</v>
      </c>
      <c r="M204" s="4">
        <f t="shared" si="140"/>
        <v>1.2330702360679744</v>
      </c>
      <c r="N204" s="4">
        <f t="shared" si="161"/>
        <v>0.0008159270664726525</v>
      </c>
      <c r="O204" s="4">
        <f>SUMPRODUCT($M$4:M204,L$154:$L$354)</f>
        <v>0.8509370349148679</v>
      </c>
      <c r="P204" s="4">
        <f t="shared" si="162"/>
        <v>0.38213320115310645</v>
      </c>
      <c r="Q204" s="4">
        <f t="shared" si="174"/>
        <v>11.781196812223223</v>
      </c>
      <c r="R204" s="4">
        <f t="shared" si="175"/>
        <v>15.897071738476297</v>
      </c>
      <c r="S204" s="4">
        <f t="shared" si="181"/>
        <v>0.045867536911993655</v>
      </c>
      <c r="T204" s="5">
        <f t="shared" si="176"/>
        <v>298.4001597890838</v>
      </c>
      <c r="U204" s="4">
        <f t="shared" si="163"/>
        <v>300.78522425463575</v>
      </c>
      <c r="V204" s="4">
        <f t="shared" si="141"/>
        <v>0.012074727639204164</v>
      </c>
      <c r="W204" s="4">
        <f>SUMPRODUCT($J$4:J204,$S$154:S$354)</f>
        <v>1.886227660111945</v>
      </c>
      <c r="X204" s="6">
        <f t="shared" si="134"/>
        <v>0.38309673420230334</v>
      </c>
      <c r="Y204" s="4">
        <f t="shared" si="164"/>
        <v>1950</v>
      </c>
      <c r="Z204" s="4">
        <f t="shared" si="177"/>
        <v>200</v>
      </c>
      <c r="AA204" s="21">
        <f t="shared" si="165"/>
        <v>74</v>
      </c>
      <c r="AB204" s="6">
        <f t="shared" si="166"/>
        <v>180.3353745</v>
      </c>
      <c r="AC204" s="24">
        <f t="shared" si="142"/>
        <v>175.3016647923606</v>
      </c>
      <c r="AD204" s="4">
        <f t="shared" si="143"/>
        <v>7.27902480856436</v>
      </c>
      <c r="AE204" s="4">
        <f t="shared" si="144"/>
        <v>5.033709707639389</v>
      </c>
      <c r="AF204" s="6">
        <f t="shared" si="137"/>
        <v>1276.0251670062264</v>
      </c>
      <c r="AG204" s="30">
        <f t="shared" si="182"/>
        <v>0.30521327960905703</v>
      </c>
      <c r="AH204" s="21">
        <f t="shared" si="130"/>
        <v>0.973333</v>
      </c>
      <c r="AI204" s="47">
        <f t="shared" si="167"/>
        <v>2.948333</v>
      </c>
      <c r="AJ204" s="4">
        <f t="shared" si="145"/>
        <v>2.229087027920916</v>
      </c>
      <c r="AK204" s="4">
        <f t="shared" si="146"/>
        <v>121.00346378488723</v>
      </c>
      <c r="AL204" s="4">
        <f t="shared" si="147"/>
        <v>0.7192459720790838</v>
      </c>
      <c r="AM204" s="5">
        <f t="shared" si="178"/>
        <v>269.7272514563905</v>
      </c>
      <c r="AN204" s="26">
        <f t="shared" si="168"/>
        <v>-0.008285681789566722</v>
      </c>
      <c r="AO204" s="4">
        <f t="shared" si="148"/>
        <v>1.175641157112568</v>
      </c>
      <c r="AP204" s="21">
        <f t="shared" si="135"/>
        <v>20</v>
      </c>
      <c r="AQ204" s="21">
        <f t="shared" si="139"/>
        <v>507.5</v>
      </c>
      <c r="AR204" s="21">
        <f t="shared" si="136"/>
        <v>65</v>
      </c>
      <c r="AS204" s="35">
        <f t="shared" si="149"/>
        <v>0.1373810402216818</v>
      </c>
      <c r="AT204" s="36">
        <f t="shared" si="150"/>
        <v>0.1618136644024865</v>
      </c>
      <c r="AU204" s="4">
        <f t="shared" si="151"/>
        <v>30.504405846836146</v>
      </c>
      <c r="AV204" s="4">
        <f t="shared" si="152"/>
        <v>0.23118504556711816</v>
      </c>
      <c r="AW204" s="4">
        <f t="shared" si="153"/>
        <v>0.015260663980452853</v>
      </c>
      <c r="AX204" s="21">
        <f t="shared" si="180"/>
        <v>23.5</v>
      </c>
      <c r="AY204" s="36">
        <f t="shared" si="154"/>
        <v>-0.13864306784660768</v>
      </c>
      <c r="AZ204" s="36">
        <f t="shared" si="155"/>
        <v>-0.3699352569248119</v>
      </c>
      <c r="BA204" s="36">
        <f t="shared" si="156"/>
        <v>-0.05833333333333334</v>
      </c>
      <c r="BB204" s="6">
        <f t="shared" si="169"/>
        <v>0.35955838346461183</v>
      </c>
      <c r="BC204" s="6">
        <f t="shared" si="179"/>
        <v>0.008438239145679649</v>
      </c>
      <c r="BD204" s="4">
        <f t="shared" si="170"/>
        <v>0.7937529197399323</v>
      </c>
      <c r="BE204" s="4">
        <f>SUMPRODUCT(BC$4:BC204,$BD$154:BD$354)</f>
        <v>0.20413973396560048</v>
      </c>
      <c r="BF204" s="23">
        <f t="shared" si="171"/>
        <v>0.20413973396560048</v>
      </c>
      <c r="BG204" s="48"/>
    </row>
    <row r="205" spans="5:59" ht="15">
      <c r="E205" s="1">
        <f t="shared" si="172"/>
        <v>201</v>
      </c>
      <c r="F205" s="1">
        <f t="shared" si="157"/>
        <v>1951</v>
      </c>
      <c r="G205" s="3">
        <f>-0.00045*(E205-$E$204)^2+0.0735*(E205-$E$204)+$G$204</f>
        <v>0.6480500000000002</v>
      </c>
      <c r="H205" s="3">
        <f>-0.00196*(E205-$E$204)^2+0.04918*(E205-$E$204)+$H$204</f>
        <v>0.26222000000000056</v>
      </c>
      <c r="I205" s="5">
        <f t="shared" si="158"/>
        <v>0.18226636885728087</v>
      </c>
      <c r="J205" s="5">
        <f t="shared" si="173"/>
        <v>0.26620378006733186</v>
      </c>
      <c r="K205" s="4">
        <f t="shared" si="159"/>
        <v>0.46179985107538807</v>
      </c>
      <c r="L205" s="4">
        <f t="shared" si="160"/>
        <v>0.0006686596956242632</v>
      </c>
      <c r="M205" s="4">
        <f t="shared" si="140"/>
        <v>1.2529103529942889</v>
      </c>
      <c r="N205" s="4">
        <f t="shared" si="161"/>
        <v>0.0008377706552776494</v>
      </c>
      <c r="O205" s="4">
        <f>SUMPRODUCT($M$4:M205,L$153:$L$354)</f>
        <v>0.8659588519102815</v>
      </c>
      <c r="P205" s="4">
        <f t="shared" si="162"/>
        <v>0.38695150108400733</v>
      </c>
      <c r="Q205" s="4">
        <f t="shared" si="174"/>
        <v>11.963477092864713</v>
      </c>
      <c r="R205" s="4">
        <f t="shared" si="175"/>
        <v>16.151792386823203</v>
      </c>
      <c r="S205" s="4">
        <f t="shared" si="181"/>
        <v>0.04601200479579215</v>
      </c>
      <c r="T205" s="5">
        <f t="shared" si="176"/>
        <v>298.7201690611815</v>
      </c>
      <c r="U205" s="4">
        <f t="shared" si="163"/>
        <v>301.1319753085915</v>
      </c>
      <c r="V205" s="4">
        <f t="shared" si="141"/>
        <v>0.012248569605116073</v>
      </c>
      <c r="W205" s="4">
        <f>SUMPRODUCT($J$4:J205,$S$153:S$354)</f>
        <v>1.9151529679850736</v>
      </c>
      <c r="X205" s="6">
        <f t="shared" si="134"/>
        <v>0.3892607658838238</v>
      </c>
      <c r="Y205" s="4">
        <f t="shared" si="164"/>
        <v>1951</v>
      </c>
      <c r="Z205" s="4">
        <f t="shared" si="177"/>
        <v>201</v>
      </c>
      <c r="AA205" s="3">
        <f>0.8022*(Z205-200)+$AA$204</f>
        <v>74.8022</v>
      </c>
      <c r="AB205" s="6">
        <f t="shared" si="166"/>
        <v>181.1375745</v>
      </c>
      <c r="AC205" s="24">
        <f t="shared" si="142"/>
        <v>175.59369522068525</v>
      </c>
      <c r="AD205" s="4">
        <f t="shared" si="143"/>
        <v>7.295585841529434</v>
      </c>
      <c r="AE205" s="4">
        <f t="shared" si="144"/>
        <v>5.543879279314751</v>
      </c>
      <c r="AF205" s="6">
        <f t="shared" si="137"/>
        <v>1281.0588767138659</v>
      </c>
      <c r="AG205" s="30">
        <f t="shared" si="182"/>
        <v>0.30774726075098596</v>
      </c>
      <c r="AH205" s="21">
        <f t="shared" si="130"/>
        <v>0.99279966</v>
      </c>
      <c r="AI205" s="47">
        <f t="shared" si="167"/>
        <v>2.96779966</v>
      </c>
      <c r="AJ205" s="4">
        <f t="shared" si="145"/>
        <v>2.235840153789343</v>
      </c>
      <c r="AK205" s="4">
        <f t="shared" si="146"/>
        <v>120.95967458590985</v>
      </c>
      <c r="AL205" s="4">
        <f t="shared" si="147"/>
        <v>0.7319595062106568</v>
      </c>
      <c r="AM205" s="5">
        <f t="shared" si="178"/>
        <v>270.44649742846957</v>
      </c>
      <c r="AN205" s="26">
        <f t="shared" si="168"/>
        <v>-0.005659788668212826</v>
      </c>
      <c r="AO205" s="4">
        <f t="shared" si="148"/>
        <v>1.172653577003274</v>
      </c>
      <c r="AP205" s="21">
        <f t="shared" si="135"/>
        <v>20.200000000000003</v>
      </c>
      <c r="AQ205" s="21">
        <f t="shared" si="139"/>
        <v>514.75</v>
      </c>
      <c r="AR205" s="21">
        <f aca="true" t="shared" si="183" ref="AR205:AR242">1.921*(Z205-$Z$204)+$AR$204</f>
        <v>66.921</v>
      </c>
      <c r="AS205" s="35">
        <f t="shared" si="149"/>
        <v>0.13706918426037762</v>
      </c>
      <c r="AT205" s="36">
        <f t="shared" si="150"/>
        <v>0.15926919527962</v>
      </c>
      <c r="AU205" s="4">
        <f t="shared" si="151"/>
        <v>30.563405523318437</v>
      </c>
      <c r="AV205" s="4">
        <f t="shared" si="152"/>
        <v>0.23366303197937438</v>
      </c>
      <c r="AW205" s="4">
        <f t="shared" si="153"/>
        <v>0.0153873630375493</v>
      </c>
      <c r="AX205" s="21">
        <f aca="true" t="shared" si="184" ref="AX205:AX236">0.886*(Z205-$Z$204)+$AX$204</f>
        <v>24.386</v>
      </c>
      <c r="AY205" s="36">
        <f t="shared" si="154"/>
        <v>-0.14387020648967552</v>
      </c>
      <c r="AZ205" s="36">
        <f t="shared" si="155"/>
        <v>-0.3811204184793784</v>
      </c>
      <c r="BA205" s="36">
        <f t="shared" si="156"/>
        <v>-0.05916666666666667</v>
      </c>
      <c r="BB205" s="6">
        <f t="shared" si="169"/>
        <v>0.3562413413478</v>
      </c>
      <c r="BC205" s="6">
        <f t="shared" si="179"/>
        <v>-0.0033170421168118303</v>
      </c>
      <c r="BD205" s="4">
        <f t="shared" si="170"/>
        <v>0.7932821635234959</v>
      </c>
      <c r="BE205" s="4">
        <f>SUMPRODUCT(BC$4:BC205,$BD$153:BD$354)</f>
        <v>0.2092237786219198</v>
      </c>
      <c r="BF205" s="23">
        <f t="shared" si="171"/>
        <v>0.2092237786219198</v>
      </c>
      <c r="BG205" s="48"/>
    </row>
    <row r="206" spans="5:59" ht="15">
      <c r="E206" s="1">
        <f t="shared" si="172"/>
        <v>202</v>
      </c>
      <c r="F206" s="1">
        <f t="shared" si="157"/>
        <v>1952</v>
      </c>
      <c r="G206" s="3">
        <f aca="true" t="shared" si="185" ref="G206:G253">-0.00045*(E206-$E$204)^2+0.0735*(E206-$E$204)+$G$204</f>
        <v>0.7202000000000003</v>
      </c>
      <c r="H206" s="3">
        <f aca="true" t="shared" si="186" ref="H206:H222">-0.00196*(E206-$E$204)^2+0.04918*(E206-$E$204)+$H$204</f>
        <v>0.30552000000000057</v>
      </c>
      <c r="I206" s="5">
        <f t="shared" si="158"/>
        <v>0.18754898144091087</v>
      </c>
      <c r="J206" s="5">
        <f t="shared" si="173"/>
        <v>0.28150439710957115</v>
      </c>
      <c r="K206" s="4">
        <f t="shared" si="159"/>
        <v>0.5566666214495188</v>
      </c>
      <c r="L206" s="4">
        <f t="shared" si="160"/>
        <v>0.0006757013381856462</v>
      </c>
      <c r="M206" s="4">
        <f t="shared" si="140"/>
        <v>1.2792977936683516</v>
      </c>
      <c r="N206" s="4">
        <f t="shared" si="161"/>
        <v>0.0008644232311196498</v>
      </c>
      <c r="O206" s="4">
        <f>SUMPRODUCT($M$4:M206,L$152:$L$354)</f>
        <v>0.8811313060692978</v>
      </c>
      <c r="P206" s="4">
        <f t="shared" si="162"/>
        <v>0.3981664875990538</v>
      </c>
      <c r="Q206" s="4">
        <f t="shared" si="174"/>
        <v>12.146937056612511</v>
      </c>
      <c r="R206" s="4">
        <f t="shared" si="175"/>
        <v>16.408439000968073</v>
      </c>
      <c r="S206" s="4">
        <f t="shared" si="181"/>
        <v>0.04615782136253607</v>
      </c>
      <c r="T206" s="5">
        <f t="shared" si="176"/>
        <v>299.0433453218542</v>
      </c>
      <c r="U206" s="4">
        <f t="shared" si="163"/>
        <v>301.5937751596669</v>
      </c>
      <c r="V206" s="4">
        <f t="shared" si="141"/>
        <v>0.012993629674552</v>
      </c>
      <c r="W206" s="4">
        <f>SUMPRODUCT($J$4:J206,$S$152:S$354)</f>
        <v>1.9566042682668656</v>
      </c>
      <c r="X206" s="6">
        <f t="shared" si="134"/>
        <v>0.3974589544788433</v>
      </c>
      <c r="Y206" s="4">
        <f t="shared" si="164"/>
        <v>1952</v>
      </c>
      <c r="Z206" s="4">
        <f t="shared" si="177"/>
        <v>202</v>
      </c>
      <c r="AA206" s="3">
        <f aca="true" t="shared" si="187" ref="AA206:AA253">0.8022*(Z206-200)+$AA$204</f>
        <v>75.6044</v>
      </c>
      <c r="AB206" s="6">
        <f t="shared" si="166"/>
        <v>181.9397745</v>
      </c>
      <c r="AC206" s="24">
        <f t="shared" si="142"/>
        <v>175.93421588154078</v>
      </c>
      <c r="AD206" s="4">
        <f t="shared" si="143"/>
        <v>7.312976327808061</v>
      </c>
      <c r="AE206" s="4">
        <f t="shared" si="144"/>
        <v>6.005558618459219</v>
      </c>
      <c r="AF206" s="6">
        <f t="shared" si="137"/>
        <v>1286.6027559931806</v>
      </c>
      <c r="AG206" s="30">
        <f t="shared" si="182"/>
        <v>0.31053230836813633</v>
      </c>
      <c r="AH206" s="21">
        <f t="shared" si="130"/>
        <v>1.01226632</v>
      </c>
      <c r="AI206" s="47">
        <f t="shared" si="167"/>
        <v>2.98726632</v>
      </c>
      <c r="AJ206" s="4">
        <f t="shared" si="145"/>
        <v>2.242697713500327</v>
      </c>
      <c r="AK206" s="4">
        <f t="shared" si="146"/>
        <v>120.9161873676832</v>
      </c>
      <c r="AL206" s="4">
        <f t="shared" si="147"/>
        <v>0.7445686064996728</v>
      </c>
      <c r="AM206" s="5">
        <f t="shared" si="178"/>
        <v>271.17845693468024</v>
      </c>
      <c r="AN206" s="26">
        <f t="shared" si="168"/>
        <v>-0.0029910621558808257</v>
      </c>
      <c r="AO206" s="4">
        <f t="shared" si="148"/>
        <v>1.1695309299776586</v>
      </c>
      <c r="AP206" s="21">
        <f t="shared" si="135"/>
        <v>20.400000000000002</v>
      </c>
      <c r="AQ206" s="21">
        <f t="shared" si="139"/>
        <v>522</v>
      </c>
      <c r="AR206" s="21">
        <f t="shared" si="183"/>
        <v>68.842</v>
      </c>
      <c r="AS206" s="35">
        <f t="shared" si="149"/>
        <v>0.13674322945603365</v>
      </c>
      <c r="AT206" s="36">
        <f t="shared" si="150"/>
        <v>0.1566027538729307</v>
      </c>
      <c r="AU206" s="4">
        <f t="shared" si="151"/>
        <v>30.624311016735458</v>
      </c>
      <c r="AV206" s="4">
        <f t="shared" si="152"/>
        <v>0.23622106270288926</v>
      </c>
      <c r="AW206" s="4">
        <f t="shared" si="153"/>
        <v>0.015526615418406817</v>
      </c>
      <c r="AX206" s="21">
        <f t="shared" si="184"/>
        <v>25.272</v>
      </c>
      <c r="AY206" s="36">
        <f t="shared" si="154"/>
        <v>-0.14909734513274336</v>
      </c>
      <c r="AZ206" s="36">
        <f t="shared" si="155"/>
        <v>-0.3921572859489065</v>
      </c>
      <c r="BA206" s="36">
        <f t="shared" si="156"/>
        <v>-0.06</v>
      </c>
      <c r="BB206" s="6">
        <f t="shared" si="169"/>
        <v>0.35549324773074503</v>
      </c>
      <c r="BC206" s="6">
        <f t="shared" si="179"/>
        <v>-0.0007480936170549679</v>
      </c>
      <c r="BD206" s="4">
        <f t="shared" si="170"/>
        <v>0.7928102297747597</v>
      </c>
      <c r="BE206" s="4">
        <f>SUMPRODUCT(BC$4:BC206,$BD$152:BD$354)</f>
        <v>0.21382174672594728</v>
      </c>
      <c r="BF206" s="23">
        <f t="shared" si="171"/>
        <v>0.21382174672594728</v>
      </c>
      <c r="BG206" s="48"/>
    </row>
    <row r="207" spans="5:59" ht="15">
      <c r="E207" s="1">
        <f t="shared" si="172"/>
        <v>203</v>
      </c>
      <c r="F207" s="1">
        <f t="shared" si="157"/>
        <v>1953</v>
      </c>
      <c r="G207" s="3">
        <f t="shared" si="185"/>
        <v>0.7914500000000002</v>
      </c>
      <c r="H207" s="3">
        <f t="shared" si="186"/>
        <v>0.3449000000000006</v>
      </c>
      <c r="I207" s="5">
        <f t="shared" si="158"/>
        <v>0.1951200257142925</v>
      </c>
      <c r="J207" s="5">
        <f t="shared" si="173"/>
        <v>0.2955088519907426</v>
      </c>
      <c r="K207" s="4">
        <f t="shared" si="159"/>
        <v>0.6457211222949658</v>
      </c>
      <c r="L207" s="4">
        <f t="shared" si="160"/>
        <v>0.0006828302341348398</v>
      </c>
      <c r="M207" s="4">
        <f t="shared" si="140"/>
        <v>1.311052307148645</v>
      </c>
      <c r="N207" s="4">
        <f t="shared" si="161"/>
        <v>0.0008952261538533313</v>
      </c>
      <c r="O207" s="4">
        <f>SUMPRODUCT($M$4:M207,L$151:$L$354)</f>
        <v>0.8968124925572021</v>
      </c>
      <c r="P207" s="4">
        <f t="shared" si="162"/>
        <v>0.414239814591443</v>
      </c>
      <c r="Q207" s="4">
        <f t="shared" si="174"/>
        <v>12.409843646245093</v>
      </c>
      <c r="R207" s="4">
        <f t="shared" si="175"/>
        <v>16.776711445189427</v>
      </c>
      <c r="S207" s="4">
        <f t="shared" si="181"/>
        <v>0.04630500626863564</v>
      </c>
      <c r="T207" s="5">
        <f t="shared" si="176"/>
        <v>299.47313158208027</v>
      </c>
      <c r="U207" s="4">
        <f t="shared" si="163"/>
        <v>302.1504417811164</v>
      </c>
      <c r="V207" s="4">
        <f t="shared" si="141"/>
        <v>0.013683539243868658</v>
      </c>
      <c r="W207" s="4">
        <f>SUMPRODUCT($J$4:J207,$S$151:S$354)</f>
        <v>2.002072231300962</v>
      </c>
      <c r="X207" s="6">
        <f t="shared" si="134"/>
        <v>0.4073246134288764</v>
      </c>
      <c r="Y207" s="4">
        <f t="shared" si="164"/>
        <v>1953</v>
      </c>
      <c r="Z207" s="4">
        <f t="shared" si="177"/>
        <v>203</v>
      </c>
      <c r="AA207" s="3">
        <f t="shared" si="187"/>
        <v>76.4066</v>
      </c>
      <c r="AB207" s="6">
        <f t="shared" si="166"/>
        <v>182.7419745</v>
      </c>
      <c r="AC207" s="24">
        <f t="shared" si="142"/>
        <v>176.31817039776018</v>
      </c>
      <c r="AD207" s="4">
        <f t="shared" si="143"/>
        <v>7.331112339106147</v>
      </c>
      <c r="AE207" s="4">
        <f t="shared" si="144"/>
        <v>6.423804102239814</v>
      </c>
      <c r="AF207" s="6">
        <f t="shared" si="137"/>
        <v>1292.6083146116398</v>
      </c>
      <c r="AG207" s="30">
        <f t="shared" si="182"/>
        <v>0.3135425251007634</v>
      </c>
      <c r="AH207" s="21">
        <f t="shared" si="130"/>
        <v>1.03173298</v>
      </c>
      <c r="AI207" s="47">
        <f t="shared" si="167"/>
        <v>3.0067329799999998</v>
      </c>
      <c r="AJ207" s="4">
        <f t="shared" si="145"/>
        <v>2.249658979386913</v>
      </c>
      <c r="AK207" s="4">
        <f t="shared" si="146"/>
        <v>120.8729981000434</v>
      </c>
      <c r="AL207" s="4">
        <f t="shared" si="147"/>
        <v>0.7570740006130867</v>
      </c>
      <c r="AM207" s="5">
        <f t="shared" si="178"/>
        <v>271.9230255411799</v>
      </c>
      <c r="AN207" s="26">
        <f t="shared" si="168"/>
        <v>-0.0002800555421615058</v>
      </c>
      <c r="AO207" s="4">
        <f t="shared" si="148"/>
        <v>1.1662901970291328</v>
      </c>
      <c r="AP207" s="21">
        <f t="shared" si="135"/>
        <v>20.6</v>
      </c>
      <c r="AQ207" s="21">
        <f t="shared" si="139"/>
        <v>529.25</v>
      </c>
      <c r="AR207" s="21">
        <f t="shared" si="183"/>
        <v>70.763</v>
      </c>
      <c r="AS207" s="35">
        <f t="shared" si="149"/>
        <v>0.1364049483549349</v>
      </c>
      <c r="AT207" s="36">
        <f t="shared" si="150"/>
        <v>0.15382793949145515</v>
      </c>
      <c r="AU207" s="4">
        <f t="shared" si="151"/>
        <v>30.686909837883512</v>
      </c>
      <c r="AV207" s="4">
        <f t="shared" si="152"/>
        <v>0.23885021319110752</v>
      </c>
      <c r="AW207" s="4">
        <f t="shared" si="153"/>
        <v>0.01567712625503817</v>
      </c>
      <c r="AX207" s="21">
        <f t="shared" si="184"/>
        <v>26.158</v>
      </c>
      <c r="AY207" s="36">
        <f t="shared" si="154"/>
        <v>-0.15432448377581123</v>
      </c>
      <c r="AZ207" s="36">
        <f t="shared" si="155"/>
        <v>-0.4030497401355281</v>
      </c>
      <c r="BA207" s="36">
        <f t="shared" si="156"/>
        <v>-0.06083333333333333</v>
      </c>
      <c r="BB207" s="6">
        <f t="shared" si="169"/>
        <v>0.3569068651889513</v>
      </c>
      <c r="BC207" s="6">
        <f t="shared" si="179"/>
        <v>0.0014136174582062844</v>
      </c>
      <c r="BD207" s="4">
        <f t="shared" si="170"/>
        <v>0.7923371081618943</v>
      </c>
      <c r="BE207" s="4">
        <f>SUMPRODUCT(BC$4:BC207,$BD$151:BD$354)</f>
        <v>0.2180901288911313</v>
      </c>
      <c r="BF207" s="23">
        <f t="shared" si="171"/>
        <v>0.2180901288911313</v>
      </c>
      <c r="BG207" s="48"/>
    </row>
    <row r="208" spans="5:59" ht="15">
      <c r="E208" s="1">
        <f t="shared" si="172"/>
        <v>204</v>
      </c>
      <c r="F208" s="1">
        <f t="shared" si="157"/>
        <v>1954</v>
      </c>
      <c r="G208" s="3">
        <f t="shared" si="185"/>
        <v>0.8618000000000003</v>
      </c>
      <c r="H208" s="3">
        <f t="shared" si="186"/>
        <v>0.3803600000000006</v>
      </c>
      <c r="I208" s="5">
        <f t="shared" si="158"/>
        <v>0.20461131881955696</v>
      </c>
      <c r="J208" s="5">
        <f t="shared" si="173"/>
        <v>0.31573818182635593</v>
      </c>
      <c r="K208" s="4">
        <f t="shared" si="159"/>
        <v>0.7218104993540883</v>
      </c>
      <c r="L208" s="4">
        <f t="shared" si="160"/>
        <v>0.0006900481055205221</v>
      </c>
      <c r="M208" s="4">
        <f t="shared" si="140"/>
        <v>1.3478136406704357</v>
      </c>
      <c r="N208" s="4">
        <f t="shared" si="161"/>
        <v>0.0009300562493393519</v>
      </c>
      <c r="O208" s="4">
        <f>SUMPRODUCT($M$4:M208,L$150:$L$354)</f>
        <v>0.9134238108165162</v>
      </c>
      <c r="P208" s="4">
        <f t="shared" si="162"/>
        <v>0.4343898298539195</v>
      </c>
      <c r="Q208" s="4">
        <f t="shared" si="174"/>
        <v>12.698226085820467</v>
      </c>
      <c r="R208" s="4">
        <f t="shared" si="175"/>
        <v>17.181329358659298</v>
      </c>
      <c r="S208" s="4">
        <f t="shared" si="181"/>
        <v>0.046453579635220885</v>
      </c>
      <c r="T208" s="5">
        <f t="shared" si="176"/>
        <v>299.9355749760646</v>
      </c>
      <c r="U208" s="4">
        <f t="shared" si="163"/>
        <v>302.79616290341136</v>
      </c>
      <c r="V208" s="4">
        <f t="shared" si="141"/>
        <v>0.014667168773350477</v>
      </c>
      <c r="W208" s="4">
        <f>SUMPRODUCT($J$4:J208,$S$150:S$354)</f>
        <v>2.057363590150908</v>
      </c>
      <c r="X208" s="6">
        <f t="shared" si="134"/>
        <v>0.4187458175137533</v>
      </c>
      <c r="Y208" s="4">
        <f t="shared" si="164"/>
        <v>1954</v>
      </c>
      <c r="Z208" s="4">
        <f t="shared" si="177"/>
        <v>204</v>
      </c>
      <c r="AA208" s="3">
        <f t="shared" si="187"/>
        <v>77.2088</v>
      </c>
      <c r="AB208" s="6">
        <f t="shared" si="166"/>
        <v>183.5441745</v>
      </c>
      <c r="AC208" s="24">
        <f t="shared" si="142"/>
        <v>176.74102757121995</v>
      </c>
      <c r="AD208" s="4">
        <f t="shared" si="143"/>
        <v>7.34991833285805</v>
      </c>
      <c r="AE208" s="4">
        <f t="shared" si="144"/>
        <v>6.803146928780052</v>
      </c>
      <c r="AF208" s="6">
        <f t="shared" si="137"/>
        <v>1299.0321187138795</v>
      </c>
      <c r="AG208" s="30">
        <f t="shared" si="182"/>
        <v>0.3167546524221651</v>
      </c>
      <c r="AH208" s="21">
        <f t="shared" si="130"/>
        <v>1.05119964</v>
      </c>
      <c r="AI208" s="47">
        <f t="shared" si="167"/>
        <v>3.02619964</v>
      </c>
      <c r="AJ208" s="4">
        <f t="shared" si="145"/>
        <v>2.256723226664088</v>
      </c>
      <c r="AK208" s="4">
        <f t="shared" si="146"/>
        <v>120.8301028322696</v>
      </c>
      <c r="AL208" s="4">
        <f t="shared" si="147"/>
        <v>0.7694764133359122</v>
      </c>
      <c r="AM208" s="5">
        <f t="shared" si="178"/>
        <v>272.680099541793</v>
      </c>
      <c r="AN208" s="26">
        <f t="shared" si="168"/>
        <v>0.0024726808250605356</v>
      </c>
      <c r="AO208" s="4">
        <f t="shared" si="148"/>
        <v>1.1629466348156146</v>
      </c>
      <c r="AP208" s="21">
        <f t="shared" si="135"/>
        <v>20.8</v>
      </c>
      <c r="AQ208" s="21">
        <f t="shared" si="139"/>
        <v>536.5</v>
      </c>
      <c r="AR208" s="21">
        <f t="shared" si="183"/>
        <v>72.684</v>
      </c>
      <c r="AS208" s="35">
        <f t="shared" si="149"/>
        <v>0.1360559335101</v>
      </c>
      <c r="AT208" s="36">
        <f t="shared" si="150"/>
        <v>0.15095698668461421</v>
      </c>
      <c r="AU208" s="4">
        <f t="shared" si="151"/>
        <v>30.751010821927906</v>
      </c>
      <c r="AV208" s="4">
        <f t="shared" si="152"/>
        <v>0.24154245452097206</v>
      </c>
      <c r="AW208" s="4">
        <f t="shared" si="153"/>
        <v>0.015837732621108255</v>
      </c>
      <c r="AX208" s="21">
        <f t="shared" si="184"/>
        <v>27.044</v>
      </c>
      <c r="AY208" s="36">
        <f t="shared" si="154"/>
        <v>-0.15955162241887907</v>
      </c>
      <c r="AZ208" s="36">
        <f t="shared" si="155"/>
        <v>-0.4138015114680982</v>
      </c>
      <c r="BA208" s="36">
        <f t="shared" si="156"/>
        <v>-0.061666666666666675</v>
      </c>
      <c r="BB208" s="6">
        <f t="shared" si="169"/>
        <v>0.36033353734941526</v>
      </c>
      <c r="BC208" s="6">
        <f t="shared" si="179"/>
        <v>0.0034266721604639394</v>
      </c>
      <c r="BD208" s="4">
        <f t="shared" si="170"/>
        <v>0.7918627877792463</v>
      </c>
      <c r="BE208" s="4">
        <f>SUMPRODUCT(BC$4:BC208,$BD$150:BD$354)</f>
        <v>0.2221553612635259</v>
      </c>
      <c r="BF208" s="23">
        <f t="shared" si="171"/>
        <v>0.2221553612635259</v>
      </c>
      <c r="BG208" s="48"/>
    </row>
    <row r="209" spans="5:59" ht="15">
      <c r="E209" s="1">
        <f t="shared" si="172"/>
        <v>205</v>
      </c>
      <c r="F209" s="1">
        <f t="shared" si="157"/>
        <v>1955</v>
      </c>
      <c r="G209" s="3">
        <f t="shared" si="185"/>
        <v>0.9312500000000004</v>
      </c>
      <c r="H209" s="3">
        <f t="shared" si="186"/>
        <v>0.4119000000000006</v>
      </c>
      <c r="I209" s="5">
        <f t="shared" si="158"/>
        <v>0.21547739562971524</v>
      </c>
      <c r="J209" s="5">
        <f t="shared" si="173"/>
        <v>0.3347897461610897</v>
      </c>
      <c r="K209" s="4">
        <f t="shared" si="159"/>
        <v>0.7928828582091961</v>
      </c>
      <c r="L209" s="4">
        <f t="shared" si="160"/>
        <v>0.0006973567350293768</v>
      </c>
      <c r="M209" s="4">
        <f t="shared" si="140"/>
        <v>1.3888141119660793</v>
      </c>
      <c r="N209" s="4">
        <f t="shared" si="161"/>
        <v>0.0009684988746833884</v>
      </c>
      <c r="O209" s="4">
        <f>SUMPRODUCT($M$4:M209,L$149:$L$354)</f>
        <v>0.9313556010441938</v>
      </c>
      <c r="P209" s="4">
        <f t="shared" si="162"/>
        <v>0.4574585109218855</v>
      </c>
      <c r="Q209" s="4">
        <f t="shared" si="174"/>
        <v>13.048913820404655</v>
      </c>
      <c r="R209" s="4">
        <f t="shared" si="175"/>
        <v>17.674297192046595</v>
      </c>
      <c r="S209" s="4">
        <f t="shared" si="181"/>
        <v>0.04660356206549721</v>
      </c>
      <c r="T209" s="5">
        <f t="shared" si="176"/>
        <v>300.484778302546</v>
      </c>
      <c r="U209" s="4">
        <f t="shared" si="163"/>
        <v>303.51797340276545</v>
      </c>
      <c r="V209" s="4">
        <f t="shared" si="141"/>
        <v>0.015602394714110401</v>
      </c>
      <c r="W209" s="4">
        <f>SUMPRODUCT($J$4:J209,$S$149:S$354)</f>
        <v>2.1171853603566886</v>
      </c>
      <c r="X209" s="6">
        <f t="shared" si="134"/>
        <v>0.4314840591764532</v>
      </c>
      <c r="Y209" s="4">
        <f t="shared" si="164"/>
        <v>1955</v>
      </c>
      <c r="Z209" s="4">
        <f t="shared" si="177"/>
        <v>205</v>
      </c>
      <c r="AA209" s="3">
        <f t="shared" si="187"/>
        <v>78.011</v>
      </c>
      <c r="AB209" s="6">
        <f t="shared" si="166"/>
        <v>184.3463745</v>
      </c>
      <c r="AC209" s="24">
        <f t="shared" si="142"/>
        <v>177.198728467594</v>
      </c>
      <c r="AD209" s="4">
        <f t="shared" si="143"/>
        <v>7.369326388148829</v>
      </c>
      <c r="AE209" s="4">
        <f t="shared" si="144"/>
        <v>7.147646032405987</v>
      </c>
      <c r="AF209" s="6">
        <f t="shared" si="137"/>
        <v>1305.8352656426596</v>
      </c>
      <c r="AG209" s="30">
        <f t="shared" si="182"/>
        <v>0.32014781692350675</v>
      </c>
      <c r="AH209" s="21">
        <f t="shared" si="130"/>
        <v>1.0706663</v>
      </c>
      <c r="AI209" s="47">
        <f t="shared" si="167"/>
        <v>3.0456663</v>
      </c>
      <c r="AJ209" s="4">
        <f t="shared" si="145"/>
        <v>2.2638897334774555</v>
      </c>
      <c r="AK209" s="4">
        <f t="shared" si="146"/>
        <v>120.78749769101863</v>
      </c>
      <c r="AL209" s="4">
        <f t="shared" si="147"/>
        <v>0.7817765665225447</v>
      </c>
      <c r="AM209" s="5">
        <f t="shared" si="178"/>
        <v>273.4495759551289</v>
      </c>
      <c r="AN209" s="26">
        <f t="shared" si="168"/>
        <v>0.0052665996255545616</v>
      </c>
      <c r="AO209" s="4">
        <f t="shared" si="148"/>
        <v>1.1595139239522416</v>
      </c>
      <c r="AP209" s="21">
        <f t="shared" si="135"/>
        <v>21</v>
      </c>
      <c r="AQ209" s="21">
        <f t="shared" si="139"/>
        <v>543.75</v>
      </c>
      <c r="AR209" s="21">
        <f t="shared" si="183"/>
        <v>74.605</v>
      </c>
      <c r="AS209" s="35">
        <f t="shared" si="149"/>
        <v>0.13569761296068739</v>
      </c>
      <c r="AT209" s="36">
        <f t="shared" si="150"/>
        <v>0.1480008862245651</v>
      </c>
      <c r="AU209" s="4">
        <f t="shared" si="151"/>
        <v>30.81644223805367</v>
      </c>
      <c r="AV209" s="4">
        <f t="shared" si="152"/>
        <v>0.2442905739982542</v>
      </c>
      <c r="AW209" s="4">
        <f t="shared" si="153"/>
        <v>0.016007390846175338</v>
      </c>
      <c r="AX209" s="21">
        <f t="shared" si="184"/>
        <v>27.93</v>
      </c>
      <c r="AY209" s="36">
        <f t="shared" si="154"/>
        <v>-0.16477876106194692</v>
      </c>
      <c r="AZ209" s="36">
        <f t="shared" si="155"/>
        <v>-0.4244161876721206</v>
      </c>
      <c r="BA209" s="36">
        <f t="shared" si="156"/>
        <v>-0.0625</v>
      </c>
      <c r="BB209" s="6">
        <f t="shared" si="169"/>
        <v>0.3655014918358765</v>
      </c>
      <c r="BC209" s="6">
        <f t="shared" si="179"/>
        <v>0.005167954486461235</v>
      </c>
      <c r="BD209" s="4">
        <f t="shared" si="170"/>
        <v>0.7913872571064583</v>
      </c>
      <c r="BE209" s="4">
        <f>SUMPRODUCT(BC$4:BC209,$BD$149:BD$354)</f>
        <v>0.22612831128846803</v>
      </c>
      <c r="BF209" s="23">
        <f t="shared" si="171"/>
        <v>0.22612831128846803</v>
      </c>
      <c r="BG209" s="48"/>
    </row>
    <row r="210" spans="5:59" ht="15">
      <c r="E210" s="1">
        <f t="shared" si="172"/>
        <v>206</v>
      </c>
      <c r="F210" s="1">
        <f t="shared" si="157"/>
        <v>1956</v>
      </c>
      <c r="G210" s="3">
        <f t="shared" si="185"/>
        <v>0.9998000000000002</v>
      </c>
      <c r="H210" s="3">
        <f t="shared" si="186"/>
        <v>0.4395200000000006</v>
      </c>
      <c r="I210" s="5">
        <f t="shared" si="158"/>
        <v>0.2274303260792352</v>
      </c>
      <c r="J210" s="5">
        <f t="shared" si="173"/>
        <v>0.3571659369043298</v>
      </c>
      <c r="K210" s="4">
        <f t="shared" si="159"/>
        <v>0.8547237370164358</v>
      </c>
      <c r="L210" s="4">
        <f t="shared" si="160"/>
        <v>0.0007047579688171504</v>
      </c>
      <c r="M210" s="4">
        <f t="shared" si="140"/>
        <v>1.4337394261211198</v>
      </c>
      <c r="N210" s="4">
        <f t="shared" si="161"/>
        <v>0.0010104392857661873</v>
      </c>
      <c r="O210" s="4">
        <f>SUMPRODUCT($M$4:M210,L$148:$L$354)</f>
        <v>0.9509048438549035</v>
      </c>
      <c r="P210" s="4">
        <f t="shared" si="162"/>
        <v>0.48283458226621634</v>
      </c>
      <c r="Q210" s="4">
        <f t="shared" si="174"/>
        <v>13.428335876737451</v>
      </c>
      <c r="R210" s="4">
        <f t="shared" si="175"/>
        <v>18.208812026493238</v>
      </c>
      <c r="S210" s="4">
        <f t="shared" si="181"/>
        <v>0.04675497466294104</v>
      </c>
      <c r="T210" s="5">
        <f t="shared" si="176"/>
        <v>301.0749328726214</v>
      </c>
      <c r="U210" s="4">
        <f t="shared" si="163"/>
        <v>304.3108562609746</v>
      </c>
      <c r="V210" s="4">
        <f t="shared" si="141"/>
        <v>0.016699284330427538</v>
      </c>
      <c r="W210" s="4">
        <f>SUMPRODUCT($J$4:J210,$S$148:S$354)</f>
        <v>2.1846403867927964</v>
      </c>
      <c r="X210" s="6">
        <f t="shared" si="134"/>
        <v>0.445441691622996</v>
      </c>
      <c r="Y210" s="4">
        <f t="shared" si="164"/>
        <v>1956</v>
      </c>
      <c r="Z210" s="4">
        <f t="shared" si="177"/>
        <v>206</v>
      </c>
      <c r="AA210" s="3">
        <f t="shared" si="187"/>
        <v>78.8132</v>
      </c>
      <c r="AB210" s="6">
        <f t="shared" si="166"/>
        <v>185.1485745</v>
      </c>
      <c r="AC210" s="24">
        <f t="shared" si="142"/>
        <v>177.68763836304268</v>
      </c>
      <c r="AD210" s="4">
        <f t="shared" si="143"/>
        <v>7.389275493618995</v>
      </c>
      <c r="AE210" s="4">
        <f t="shared" si="144"/>
        <v>7.460936136957315</v>
      </c>
      <c r="AF210" s="6">
        <f t="shared" si="137"/>
        <v>1312.9829116750657</v>
      </c>
      <c r="AG210" s="30">
        <f t="shared" si="182"/>
        <v>0.32370329717790386</v>
      </c>
      <c r="AH210" s="21">
        <f t="shared" si="130"/>
        <v>1.09013296</v>
      </c>
      <c r="AI210" s="47">
        <f t="shared" si="167"/>
        <v>3.06513296</v>
      </c>
      <c r="AJ210" s="4">
        <f t="shared" si="145"/>
        <v>2.271157780949512</v>
      </c>
      <c r="AK210" s="4">
        <f t="shared" si="146"/>
        <v>120.74517887832631</v>
      </c>
      <c r="AL210" s="4">
        <f t="shared" si="147"/>
        <v>0.7939751790504883</v>
      </c>
      <c r="AM210" s="5">
        <f t="shared" si="178"/>
        <v>274.23135252165144</v>
      </c>
      <c r="AN210" s="26">
        <f t="shared" si="168"/>
        <v>0.008101156649343863</v>
      </c>
      <c r="AO210" s="4">
        <f t="shared" si="148"/>
        <v>1.156004310508358</v>
      </c>
      <c r="AP210" s="21">
        <f t="shared" si="135"/>
        <v>21.200000000000003</v>
      </c>
      <c r="AQ210" s="21">
        <f t="shared" si="139"/>
        <v>551</v>
      </c>
      <c r="AR210" s="21">
        <f t="shared" si="183"/>
        <v>76.526</v>
      </c>
      <c r="AS210" s="35">
        <f t="shared" si="149"/>
        <v>0.13533126500203566</v>
      </c>
      <c r="AT210" s="36">
        <f t="shared" si="150"/>
        <v>0.14496949905669215</v>
      </c>
      <c r="AU210" s="4">
        <f t="shared" si="151"/>
        <v>30.883050008989184</v>
      </c>
      <c r="AV210" s="4">
        <f t="shared" si="152"/>
        <v>0.24708810037754572</v>
      </c>
      <c r="AW210" s="4">
        <f t="shared" si="153"/>
        <v>0.016185164858895196</v>
      </c>
      <c r="AX210" s="21">
        <f t="shared" si="184"/>
        <v>28.816</v>
      </c>
      <c r="AY210" s="36">
        <f t="shared" si="154"/>
        <v>-0.17000589970501476</v>
      </c>
      <c r="AZ210" s="36">
        <f t="shared" si="155"/>
        <v>-0.43489722095680505</v>
      </c>
      <c r="BA210" s="36">
        <f t="shared" si="156"/>
        <v>-0.06333333333333334</v>
      </c>
      <c r="BB210" s="6">
        <f t="shared" si="169"/>
        <v>0.37228295669153144</v>
      </c>
      <c r="BC210" s="6">
        <f t="shared" si="179"/>
        <v>0.006781464855654951</v>
      </c>
      <c r="BD210" s="4">
        <f t="shared" si="170"/>
        <v>0.7909105039646486</v>
      </c>
      <c r="BE210" s="4">
        <f>SUMPRODUCT(BC$4:BC210,$BD$148:BD$354)</f>
        <v>0.230099370254393</v>
      </c>
      <c r="BF210" s="23">
        <f t="shared" si="171"/>
        <v>0.230099370254393</v>
      </c>
      <c r="BG210" s="48"/>
    </row>
    <row r="211" spans="5:59" ht="15">
      <c r="E211" s="1">
        <f t="shared" si="172"/>
        <v>207</v>
      </c>
      <c r="F211" s="1">
        <f t="shared" si="157"/>
        <v>1957</v>
      </c>
      <c r="G211" s="3">
        <f t="shared" si="185"/>
        <v>1.0674500000000002</v>
      </c>
      <c r="H211" s="3">
        <f t="shared" si="186"/>
        <v>0.4632200000000006</v>
      </c>
      <c r="I211" s="5">
        <f t="shared" si="158"/>
        <v>0.2401111933489232</v>
      </c>
      <c r="J211" s="5">
        <f t="shared" si="173"/>
        <v>0.3785869631108753</v>
      </c>
      <c r="K211" s="4">
        <f t="shared" si="159"/>
        <v>0.9119718435402022</v>
      </c>
      <c r="L211" s="4">
        <f t="shared" si="160"/>
        <v>0.0007122537194820664</v>
      </c>
      <c r="M211" s="4">
        <f t="shared" si="140"/>
        <v>1.482037773767252</v>
      </c>
      <c r="N211" s="4">
        <f t="shared" si="161"/>
        <v>0.0010555869167786466</v>
      </c>
      <c r="O211" s="4">
        <f>SUMPRODUCT($M$4:M211,L$147:$L$354)</f>
        <v>0.9722817102874881</v>
      </c>
      <c r="P211" s="4">
        <f t="shared" si="162"/>
        <v>0.509756063479764</v>
      </c>
      <c r="Q211" s="4">
        <f t="shared" si="174"/>
        <v>13.856172177006245</v>
      </c>
      <c r="R211" s="4">
        <f t="shared" si="175"/>
        <v>18.812974569601238</v>
      </c>
      <c r="S211" s="4">
        <f t="shared" si="181"/>
        <v>0.046907839050380415</v>
      </c>
      <c r="T211" s="5">
        <f t="shared" si="176"/>
        <v>301.73558211220654</v>
      </c>
      <c r="U211" s="4">
        <f t="shared" si="163"/>
        <v>305.1655799979911</v>
      </c>
      <c r="V211" s="4">
        <f t="shared" si="141"/>
        <v>0.017758696332177245</v>
      </c>
      <c r="W211" s="4">
        <f>SUMPRODUCT($J$4:J211,$S$147:S$354)</f>
        <v>2.256415123596135</v>
      </c>
      <c r="X211" s="6">
        <f t="shared" si="134"/>
        <v>0.4604472758219976</v>
      </c>
      <c r="Y211" s="4">
        <f t="shared" si="164"/>
        <v>1957</v>
      </c>
      <c r="Z211" s="4">
        <f t="shared" si="177"/>
        <v>207</v>
      </c>
      <c r="AA211" s="3">
        <f t="shared" si="187"/>
        <v>79.6154</v>
      </c>
      <c r="AB211" s="6">
        <f t="shared" si="166"/>
        <v>185.9507745</v>
      </c>
      <c r="AC211" s="24">
        <f t="shared" si="142"/>
        <v>178.20450321933748</v>
      </c>
      <c r="AD211" s="4">
        <f t="shared" si="143"/>
        <v>7.4097108880957725</v>
      </c>
      <c r="AE211" s="4">
        <f t="shared" si="144"/>
        <v>7.746271280662512</v>
      </c>
      <c r="AF211" s="6">
        <f t="shared" si="137"/>
        <v>1320.443847812023</v>
      </c>
      <c r="AG211" s="30">
        <f t="shared" si="182"/>
        <v>0.3274043104211336</v>
      </c>
      <c r="AH211" s="21">
        <f t="shared" si="130"/>
        <v>1.10959962</v>
      </c>
      <c r="AI211" s="47">
        <f t="shared" si="167"/>
        <v>3.08459962</v>
      </c>
      <c r="AJ211" s="4">
        <f t="shared" si="145"/>
        <v>2.2785266532236164</v>
      </c>
      <c r="AK211" s="4">
        <f t="shared" si="146"/>
        <v>120.70314266967266</v>
      </c>
      <c r="AL211" s="4">
        <f t="shared" si="147"/>
        <v>0.8060729667763837</v>
      </c>
      <c r="AM211" s="5">
        <f t="shared" si="178"/>
        <v>275.02532770070195</v>
      </c>
      <c r="AN211" s="26">
        <f t="shared" si="168"/>
        <v>0.010975810875978027</v>
      </c>
      <c r="AO211" s="4">
        <f t="shared" si="148"/>
        <v>1.1524287394525028</v>
      </c>
      <c r="AP211" s="21">
        <f t="shared" si="135"/>
        <v>21.400000000000002</v>
      </c>
      <c r="AQ211" s="21">
        <f t="shared" si="139"/>
        <v>558.25</v>
      </c>
      <c r="AR211" s="21">
        <f t="shared" si="183"/>
        <v>78.447</v>
      </c>
      <c r="AS211" s="35">
        <f t="shared" si="149"/>
        <v>0.13495803211520319</v>
      </c>
      <c r="AT211" s="36">
        <f t="shared" si="150"/>
        <v>0.14187166269937948</v>
      </c>
      <c r="AU211" s="4">
        <f t="shared" si="151"/>
        <v>30.950696048509695</v>
      </c>
      <c r="AV211" s="4">
        <f t="shared" si="152"/>
        <v>0.2499292340374072</v>
      </c>
      <c r="AW211" s="4">
        <f t="shared" si="153"/>
        <v>0.01637021552105668</v>
      </c>
      <c r="AX211" s="21">
        <f t="shared" si="184"/>
        <v>29.701999999999998</v>
      </c>
      <c r="AY211" s="36">
        <f t="shared" si="154"/>
        <v>-0.1752330383480826</v>
      </c>
      <c r="AZ211" s="36">
        <f t="shared" si="155"/>
        <v>-0.4452479347552916</v>
      </c>
      <c r="BA211" s="36">
        <f t="shared" si="156"/>
        <v>-0.06416666666666668</v>
      </c>
      <c r="BB211" s="6">
        <f t="shared" si="169"/>
        <v>0.3804792069075323</v>
      </c>
      <c r="BC211" s="6">
        <f t="shared" si="179"/>
        <v>0.008196250216000844</v>
      </c>
      <c r="BD211" s="4">
        <f t="shared" si="170"/>
        <v>0.7904325154694434</v>
      </c>
      <c r="BE211" s="4">
        <f>SUMPRODUCT(BC$4:BC211,$BD$147:BD$354)</f>
        <v>0.23414676910876225</v>
      </c>
      <c r="BF211" s="23">
        <f t="shared" si="171"/>
        <v>0.23414676910876225</v>
      </c>
      <c r="BG211" s="48"/>
    </row>
    <row r="212" spans="5:59" ht="15">
      <c r="E212" s="1">
        <f t="shared" si="172"/>
        <v>208</v>
      </c>
      <c r="F212" s="1">
        <f t="shared" si="157"/>
        <v>1958</v>
      </c>
      <c r="G212" s="3">
        <f t="shared" si="185"/>
        <v>1.1342000000000003</v>
      </c>
      <c r="H212" s="3">
        <f t="shared" si="186"/>
        <v>0.4830000000000006</v>
      </c>
      <c r="I212" s="5">
        <f t="shared" si="158"/>
        <v>0.25332744313140776</v>
      </c>
      <c r="J212" s="5">
        <f t="shared" si="173"/>
        <v>0.40169465416348604</v>
      </c>
      <c r="K212" s="4">
        <f t="shared" si="159"/>
        <v>0.9621779027051072</v>
      </c>
      <c r="L212" s="4">
        <f t="shared" si="160"/>
        <v>0.0007198459691878688</v>
      </c>
      <c r="M212" s="4">
        <f t="shared" si="140"/>
        <v>1.5334221279808034</v>
      </c>
      <c r="N212" s="4">
        <f t="shared" si="161"/>
        <v>0.0011038277378904657</v>
      </c>
      <c r="O212" s="4">
        <f>SUMPRODUCT($M$4:M212,L$146:$L$354)</f>
        <v>0.9956079662128247</v>
      </c>
      <c r="P212" s="4">
        <f t="shared" si="162"/>
        <v>0.5378141617679787</v>
      </c>
      <c r="Q212" s="4">
        <f t="shared" si="174"/>
        <v>14.311406419272725</v>
      </c>
      <c r="R212" s="4">
        <f t="shared" si="175"/>
        <v>19.457512195927297</v>
      </c>
      <c r="S212" s="4">
        <f t="shared" si="181"/>
        <v>0.047062177390007544</v>
      </c>
      <c r="T212" s="5">
        <f t="shared" si="176"/>
        <v>302.4381982748101</v>
      </c>
      <c r="U212" s="4">
        <f t="shared" si="163"/>
        <v>306.07755184153126</v>
      </c>
      <c r="V212" s="4">
        <f t="shared" si="141"/>
        <v>0.018904625070859712</v>
      </c>
      <c r="W212" s="4">
        <f>SUMPRODUCT($J$4:J212,$S$146:S$354)</f>
        <v>2.334131276304583</v>
      </c>
      <c r="X212" s="6">
        <f t="shared" si="134"/>
        <v>0.4764116367420033</v>
      </c>
      <c r="Y212" s="4">
        <f t="shared" si="164"/>
        <v>1958</v>
      </c>
      <c r="Z212" s="4">
        <f t="shared" si="177"/>
        <v>208</v>
      </c>
      <c r="AA212" s="3">
        <f t="shared" si="187"/>
        <v>80.4176</v>
      </c>
      <c r="AB212" s="6">
        <f t="shared" si="166"/>
        <v>186.7529745</v>
      </c>
      <c r="AC212" s="24">
        <f t="shared" si="142"/>
        <v>178.74641034937787</v>
      </c>
      <c r="AD212" s="4">
        <f t="shared" si="143"/>
        <v>7.430583453377353</v>
      </c>
      <c r="AE212" s="4">
        <f t="shared" si="144"/>
        <v>8.006564150622125</v>
      </c>
      <c r="AF212" s="6">
        <f t="shared" si="137"/>
        <v>1328.1901190926856</v>
      </c>
      <c r="AG212" s="30">
        <f t="shared" si="182"/>
        <v>0.3312358180745691</v>
      </c>
      <c r="AH212" s="21">
        <f t="shared" si="130"/>
        <v>1.12906628</v>
      </c>
      <c r="AI212" s="47">
        <f t="shared" si="167"/>
        <v>3.10406628</v>
      </c>
      <c r="AJ212" s="4">
        <f t="shared" si="145"/>
        <v>2.285995637505735</v>
      </c>
      <c r="AK212" s="4">
        <f t="shared" si="146"/>
        <v>120.66138541210856</v>
      </c>
      <c r="AL212" s="4">
        <f t="shared" si="147"/>
        <v>0.818070642494265</v>
      </c>
      <c r="AM212" s="5">
        <f t="shared" si="178"/>
        <v>275.8314006674783</v>
      </c>
      <c r="AN212" s="26">
        <f t="shared" si="168"/>
        <v>0.013890024550526334</v>
      </c>
      <c r="AO212" s="4">
        <f t="shared" si="148"/>
        <v>1.148796979310873</v>
      </c>
      <c r="AP212" s="21">
        <f t="shared" si="135"/>
        <v>21.6</v>
      </c>
      <c r="AQ212" s="21">
        <f t="shared" si="139"/>
        <v>565.5</v>
      </c>
      <c r="AR212" s="21">
        <f t="shared" si="183"/>
        <v>80.368</v>
      </c>
      <c r="AS212" s="35">
        <f t="shared" si="149"/>
        <v>0.13457893397933368</v>
      </c>
      <c r="AT212" s="36">
        <f t="shared" si="150"/>
        <v>0.13871528987841536</v>
      </c>
      <c r="AU212" s="4">
        <f t="shared" si="151"/>
        <v>31.019256720274758</v>
      </c>
      <c r="AV212" s="4">
        <f t="shared" si="152"/>
        <v>0.25280878225153985</v>
      </c>
      <c r="AW212" s="4">
        <f t="shared" si="153"/>
        <v>0.016561790903728456</v>
      </c>
      <c r="AX212" s="21">
        <f t="shared" si="184"/>
        <v>30.588</v>
      </c>
      <c r="AY212" s="36">
        <f t="shared" si="154"/>
        <v>-0.18046017699115047</v>
      </c>
      <c r="AZ212" s="36">
        <f t="shared" si="155"/>
        <v>-0.45547153005096136</v>
      </c>
      <c r="BA212" s="36">
        <f t="shared" si="156"/>
        <v>-0.065</v>
      </c>
      <c r="BB212" s="6">
        <f t="shared" si="169"/>
        <v>0.3899763454802552</v>
      </c>
      <c r="BC212" s="6">
        <f t="shared" si="179"/>
        <v>0.00949713857272294</v>
      </c>
      <c r="BD212" s="4">
        <f t="shared" si="170"/>
        <v>0.7899532779806293</v>
      </c>
      <c r="BE212" s="4">
        <f>SUMPRODUCT(BC$4:BC212,$BD$146:BD$354)</f>
        <v>0.23833396226782355</v>
      </c>
      <c r="BF212" s="23">
        <f t="shared" si="171"/>
        <v>0.23833396226782355</v>
      </c>
      <c r="BG212" s="48"/>
    </row>
    <row r="213" spans="5:59" ht="15">
      <c r="E213" s="1">
        <f t="shared" si="172"/>
        <v>209</v>
      </c>
      <c r="F213" s="1">
        <f t="shared" si="157"/>
        <v>1959</v>
      </c>
      <c r="G213" s="3">
        <f t="shared" si="185"/>
        <v>1.2000500000000003</v>
      </c>
      <c r="H213" s="3">
        <f t="shared" si="186"/>
        <v>0.4988600000000006</v>
      </c>
      <c r="I213" s="5">
        <f t="shared" si="158"/>
        <v>0.2668534024370972</v>
      </c>
      <c r="J213" s="5">
        <f t="shared" si="173"/>
        <v>0.42395258391034013</v>
      </c>
      <c r="K213" s="4">
        <f t="shared" si="159"/>
        <v>1.0081040136525634</v>
      </c>
      <c r="L213" s="4">
        <f t="shared" si="160"/>
        <v>0.0007275367729441398</v>
      </c>
      <c r="M213" s="4">
        <f t="shared" si="140"/>
        <v>1.5874695919288961</v>
      </c>
      <c r="N213" s="4">
        <f t="shared" si="161"/>
        <v>0.0011549425040588996</v>
      </c>
      <c r="O213" s="4">
        <f>SUMPRODUCT($M$4:M213,L$145:$L$354)</f>
        <v>1.0209398185549388</v>
      </c>
      <c r="P213" s="4">
        <f t="shared" si="162"/>
        <v>0.5665297733739574</v>
      </c>
      <c r="Q213" s="4">
        <f t="shared" si="174"/>
        <v>14.804324338108627</v>
      </c>
      <c r="R213" s="4">
        <f t="shared" si="175"/>
        <v>20.157369861048767</v>
      </c>
      <c r="S213" s="4">
        <f t="shared" si="181"/>
        <v>0.047218012404373066</v>
      </c>
      <c r="T213" s="5">
        <f t="shared" si="176"/>
        <v>303.1987193340087</v>
      </c>
      <c r="U213" s="4">
        <f t="shared" si="163"/>
        <v>307.03972974423635</v>
      </c>
      <c r="V213" s="4">
        <f t="shared" si="141"/>
        <v>0.020018198365944453</v>
      </c>
      <c r="W213" s="4">
        <f>SUMPRODUCT($J$4:J213,$S$145:S$354)</f>
        <v>2.415646241809265</v>
      </c>
      <c r="X213" s="6">
        <f t="shared" si="134"/>
        <v>0.4932033865748894</v>
      </c>
      <c r="Y213" s="4">
        <f t="shared" si="164"/>
        <v>1959</v>
      </c>
      <c r="Z213" s="4">
        <f t="shared" si="177"/>
        <v>209</v>
      </c>
      <c r="AA213" s="3">
        <f t="shared" si="187"/>
        <v>81.2198</v>
      </c>
      <c r="AB213" s="6">
        <f t="shared" si="166"/>
        <v>187.55517450000002</v>
      </c>
      <c r="AC213" s="24">
        <f t="shared" si="142"/>
        <v>179.31075293891516</v>
      </c>
      <c r="AD213" s="4">
        <f t="shared" si="143"/>
        <v>7.451849157638096</v>
      </c>
      <c r="AE213" s="4">
        <f t="shared" si="144"/>
        <v>8.244421561084863</v>
      </c>
      <c r="AF213" s="6">
        <f t="shared" si="137"/>
        <v>1336.1966832433077</v>
      </c>
      <c r="AG213" s="30">
        <f t="shared" si="182"/>
        <v>0.33518434900120014</v>
      </c>
      <c r="AH213" s="21">
        <f t="shared" si="130"/>
        <v>1.14853294</v>
      </c>
      <c r="AI213" s="47">
        <f t="shared" si="167"/>
        <v>3.12353294</v>
      </c>
      <c r="AJ213" s="4">
        <f t="shared" si="145"/>
        <v>2.2935640241040427</v>
      </c>
      <c r="AK213" s="4">
        <f t="shared" si="146"/>
        <v>120.61990352244162</v>
      </c>
      <c r="AL213" s="4">
        <f t="shared" si="147"/>
        <v>0.8299689158959573</v>
      </c>
      <c r="AM213" s="5">
        <f t="shared" si="178"/>
        <v>276.64947130997257</v>
      </c>
      <c r="AN213" s="26">
        <f t="shared" si="168"/>
        <v>0.01684326325632682</v>
      </c>
      <c r="AO213" s="4">
        <f t="shared" si="148"/>
        <v>1.1451177377055708</v>
      </c>
      <c r="AP213" s="21">
        <f t="shared" si="135"/>
        <v>21.8</v>
      </c>
      <c r="AQ213" s="21">
        <f t="shared" si="139"/>
        <v>572.75</v>
      </c>
      <c r="AR213" s="21">
        <f t="shared" si="183"/>
        <v>82.289</v>
      </c>
      <c r="AS213" s="35">
        <f t="shared" si="149"/>
        <v>0.13419487953201611</v>
      </c>
      <c r="AT213" s="36">
        <f t="shared" si="150"/>
        <v>0.13550745941025322</v>
      </c>
      <c r="AU213" s="4">
        <f t="shared" si="151"/>
        <v>31.088621417777293</v>
      </c>
      <c r="AV213" s="4">
        <f t="shared" si="152"/>
        <v>0.2557220995466463</v>
      </c>
      <c r="AW213" s="4">
        <f t="shared" si="153"/>
        <v>0.016759217450060006</v>
      </c>
      <c r="AX213" s="21">
        <f t="shared" si="184"/>
        <v>31.474</v>
      </c>
      <c r="AY213" s="36">
        <f t="shared" si="154"/>
        <v>-0.1856873156342183</v>
      </c>
      <c r="AZ213" s="36">
        <f t="shared" si="155"/>
        <v>-0.4655710913199716</v>
      </c>
      <c r="BA213" s="36">
        <f t="shared" si="156"/>
        <v>-0.06583333333333334</v>
      </c>
      <c r="BB213" s="6">
        <f t="shared" si="169"/>
        <v>0.4006205755415995</v>
      </c>
      <c r="BC213" s="6">
        <f t="shared" si="179"/>
        <v>0.010644230061344295</v>
      </c>
      <c r="BD213" s="4">
        <f t="shared" si="170"/>
        <v>0.7894727770481884</v>
      </c>
      <c r="BE213" s="4">
        <f>SUMPRODUCT(BC$4:BC213,$BD$145:BD$354)</f>
        <v>0.24271470672624</v>
      </c>
      <c r="BF213" s="23">
        <f t="shared" si="171"/>
        <v>0.24271470672624</v>
      </c>
      <c r="BG213" s="48"/>
    </row>
    <row r="214" spans="5:59" ht="15">
      <c r="E214" s="1">
        <f t="shared" si="172"/>
        <v>210</v>
      </c>
      <c r="F214" s="1">
        <f t="shared" si="157"/>
        <v>1960</v>
      </c>
      <c r="G214" s="3">
        <f t="shared" si="185"/>
        <v>1.2650000000000001</v>
      </c>
      <c r="H214" s="3">
        <f t="shared" si="186"/>
        <v>0.5108000000000006</v>
      </c>
      <c r="I214" s="5">
        <f t="shared" si="158"/>
        <v>0.2805644613025034</v>
      </c>
      <c r="J214" s="5">
        <f t="shared" si="173"/>
        <v>0.44691558397528597</v>
      </c>
      <c r="K214" s="4">
        <f t="shared" si="159"/>
        <v>1.0483199547222113</v>
      </c>
      <c r="L214" s="4">
        <f t="shared" si="160"/>
        <v>0.000735328262051921</v>
      </c>
      <c r="M214" s="4">
        <f t="shared" si="140"/>
        <v>1.6439154305017596</v>
      </c>
      <c r="N214" s="4">
        <f t="shared" si="161"/>
        <v>0.0012088174764711944</v>
      </c>
      <c r="O214" s="4">
        <f>SUMPRODUCT($M$4:M214,L$144:$L$354)</f>
        <v>1.0482770791565448</v>
      </c>
      <c r="P214" s="4">
        <f t="shared" si="162"/>
        <v>0.5956383513452148</v>
      </c>
      <c r="Q214" s="4">
        <f t="shared" si="174"/>
        <v>15.321336384514012</v>
      </c>
      <c r="R214" s="4">
        <f t="shared" si="175"/>
        <v>20.893641387050344</v>
      </c>
      <c r="S214" s="4">
        <f t="shared" si="181"/>
        <v>0.04737536739841438</v>
      </c>
      <c r="T214" s="5">
        <f t="shared" si="176"/>
        <v>303.9987785670728</v>
      </c>
      <c r="U214" s="4">
        <f t="shared" si="163"/>
        <v>308.0478337578889</v>
      </c>
      <c r="V214" s="4">
        <f t="shared" si="141"/>
        <v>0.021172789986906086</v>
      </c>
      <c r="W214" s="4">
        <f>SUMPRODUCT($J$4:J214,$S$144:S$354)</f>
        <v>2.5017528918080423</v>
      </c>
      <c r="X214" s="6">
        <f t="shared" si="134"/>
        <v>0.5107402760269695</v>
      </c>
      <c r="Y214" s="4">
        <f t="shared" si="164"/>
        <v>1960</v>
      </c>
      <c r="Z214" s="4">
        <f t="shared" si="177"/>
        <v>210</v>
      </c>
      <c r="AA214" s="3">
        <f t="shared" si="187"/>
        <v>82.022</v>
      </c>
      <c r="AB214" s="6">
        <f t="shared" si="166"/>
        <v>188.3573745</v>
      </c>
      <c r="AC214" s="24">
        <f t="shared" si="142"/>
        <v>179.8951981002859</v>
      </c>
      <c r="AD214" s="4">
        <f t="shared" si="143"/>
        <v>7.473468547253323</v>
      </c>
      <c r="AE214" s="4">
        <f t="shared" si="144"/>
        <v>8.462176399714082</v>
      </c>
      <c r="AF214" s="6">
        <f t="shared" si="137"/>
        <v>1344.4411048043926</v>
      </c>
      <c r="AG214" s="30">
        <f t="shared" si="182"/>
        <v>0.33923783931102347</v>
      </c>
      <c r="AH214" s="21">
        <f t="shared" si="130"/>
        <v>1.1679996</v>
      </c>
      <c r="AI214" s="47">
        <f t="shared" si="167"/>
        <v>3.1429996</v>
      </c>
      <c r="AJ214" s="4">
        <f t="shared" si="145"/>
        <v>2.301231106466453</v>
      </c>
      <c r="AK214" s="4">
        <f t="shared" si="146"/>
        <v>120.57869348547918</v>
      </c>
      <c r="AL214" s="4">
        <f t="shared" si="147"/>
        <v>0.841768493533547</v>
      </c>
      <c r="AM214" s="5">
        <f t="shared" si="178"/>
        <v>277.47944022586853</v>
      </c>
      <c r="AN214" s="26">
        <f t="shared" si="168"/>
        <v>0.01983499598452937</v>
      </c>
      <c r="AO214" s="4">
        <f t="shared" si="148"/>
        <v>1.1413987677397122</v>
      </c>
      <c r="AP214" s="21">
        <f t="shared" si="135"/>
        <v>22</v>
      </c>
      <c r="AQ214" s="21">
        <f t="shared" si="139"/>
        <v>580</v>
      </c>
      <c r="AR214" s="21">
        <f t="shared" si="183"/>
        <v>84.21000000000001</v>
      </c>
      <c r="AS214" s="35">
        <f t="shared" si="149"/>
        <v>0.13380667807420207</v>
      </c>
      <c r="AT214" s="36">
        <f t="shared" si="150"/>
        <v>0.1322544995156407</v>
      </c>
      <c r="AU214" s="4">
        <f t="shared" si="151"/>
        <v>31.158691262568116</v>
      </c>
      <c r="AV214" s="4">
        <f t="shared" si="152"/>
        <v>0.25866503302786087</v>
      </c>
      <c r="AW214" s="4">
        <f t="shared" si="153"/>
        <v>0.016961891965551174</v>
      </c>
      <c r="AX214" s="21">
        <f t="shared" si="184"/>
        <v>32.36</v>
      </c>
      <c r="AY214" s="36">
        <f t="shared" si="154"/>
        <v>-0.19091445427728615</v>
      </c>
      <c r="AZ214" s="36">
        <f t="shared" si="155"/>
        <v>-0.4755495921176146</v>
      </c>
      <c r="BA214" s="36">
        <f t="shared" si="156"/>
        <v>-0.06666666666666667</v>
      </c>
      <c r="BB214" s="6">
        <f t="shared" si="169"/>
        <v>0.412309323254367</v>
      </c>
      <c r="BC214" s="6">
        <f t="shared" si="179"/>
        <v>0.011688747712767455</v>
      </c>
      <c r="BD214" s="4">
        <f t="shared" si="170"/>
        <v>0.7889909973544516</v>
      </c>
      <c r="BE214" s="4">
        <f>SUMPRODUCT(BC$4:BC214,$BD$144:BD$354)</f>
        <v>0.24733178084370183</v>
      </c>
      <c r="BF214" s="23">
        <f t="shared" si="171"/>
        <v>0.24733178084370183</v>
      </c>
      <c r="BG214" s="48"/>
    </row>
    <row r="215" spans="5:59" ht="15">
      <c r="E215" s="1">
        <f t="shared" si="172"/>
        <v>211</v>
      </c>
      <c r="F215" s="1">
        <f t="shared" si="157"/>
        <v>1961</v>
      </c>
      <c r="G215" s="3">
        <f t="shared" si="185"/>
        <v>1.3290500000000003</v>
      </c>
      <c r="H215" s="3">
        <f t="shared" si="186"/>
        <v>0.5188200000000006</v>
      </c>
      <c r="I215" s="5">
        <f t="shared" si="158"/>
        <v>0.29431741824259905</v>
      </c>
      <c r="J215" s="5">
        <f t="shared" si="173"/>
        <v>0.4690492772334012</v>
      </c>
      <c r="K215" s="4">
        <f t="shared" si="159"/>
        <v>1.0845033045240005</v>
      </c>
      <c r="L215" s="4">
        <f t="shared" si="160"/>
        <v>0.0007432226477230923</v>
      </c>
      <c r="M215" s="4">
        <f t="shared" si="140"/>
        <v>1.7024174570941764</v>
      </c>
      <c r="N215" s="4">
        <f t="shared" si="161"/>
        <v>0.0012652752099915475</v>
      </c>
      <c r="O215" s="4">
        <f>SUMPRODUCT($M$4:M215,L$143:$L$354)</f>
        <v>1.0775815781651386</v>
      </c>
      <c r="P215" s="4">
        <f t="shared" si="162"/>
        <v>0.6248358789290378</v>
      </c>
      <c r="Q215" s="4">
        <f t="shared" si="174"/>
        <v>15.867471380086368</v>
      </c>
      <c r="R215" s="4">
        <f t="shared" si="175"/>
        <v>21.673847175562262</v>
      </c>
      <c r="S215" s="4">
        <f t="shared" si="181"/>
        <v>0.04753426628257343</v>
      </c>
      <c r="T215" s="5">
        <f t="shared" si="176"/>
        <v>304.8465672608765</v>
      </c>
      <c r="U215" s="4">
        <f t="shared" si="163"/>
        <v>309.0961537126111</v>
      </c>
      <c r="V215" s="4">
        <f t="shared" si="141"/>
        <v>0.0222959132436611</v>
      </c>
      <c r="W215" s="4">
        <f>SUMPRODUCT($J$4:J215,$S$143:S$354)</f>
        <v>2.591005108237572</v>
      </c>
      <c r="X215" s="6">
        <f t="shared" si="134"/>
        <v>0.5289159927673545</v>
      </c>
      <c r="Y215" s="4">
        <f t="shared" si="164"/>
        <v>1961</v>
      </c>
      <c r="Z215" s="4">
        <f t="shared" si="177"/>
        <v>211</v>
      </c>
      <c r="AA215" s="3">
        <f t="shared" si="187"/>
        <v>82.8242</v>
      </c>
      <c r="AB215" s="6">
        <f t="shared" si="166"/>
        <v>189.15957450000002</v>
      </c>
      <c r="AC215" s="24">
        <f t="shared" si="142"/>
        <v>180.4976581482272</v>
      </c>
      <c r="AD215" s="4">
        <f t="shared" si="143"/>
        <v>7.495406284402225</v>
      </c>
      <c r="AE215" s="4">
        <f t="shared" si="144"/>
        <v>8.661916351772817</v>
      </c>
      <c r="AF215" s="6">
        <f t="shared" si="137"/>
        <v>1352.9032812041066</v>
      </c>
      <c r="AG215" s="30">
        <f t="shared" si="182"/>
        <v>0.34338548750356607</v>
      </c>
      <c r="AH215" s="21">
        <f t="shared" si="130"/>
        <v>1.18746626</v>
      </c>
      <c r="AI215" s="47">
        <f t="shared" si="167"/>
        <v>3.1624662600000004</v>
      </c>
      <c r="AJ215" s="4">
        <f t="shared" si="145"/>
        <v>2.308996181216165</v>
      </c>
      <c r="AK215" s="4">
        <f t="shared" si="146"/>
        <v>120.53775185232584</v>
      </c>
      <c r="AL215" s="4">
        <f t="shared" si="147"/>
        <v>0.8534700787838356</v>
      </c>
      <c r="AM215" s="5">
        <f t="shared" si="178"/>
        <v>278.3212087194021</v>
      </c>
      <c r="AN215" s="26">
        <f t="shared" si="168"/>
        <v>0.02286469520048314</v>
      </c>
      <c r="AO215" s="4">
        <f t="shared" si="148"/>
        <v>1.1376469654158643</v>
      </c>
      <c r="AP215" s="21">
        <f t="shared" si="135"/>
        <v>22.200000000000003</v>
      </c>
      <c r="AQ215" s="21">
        <f t="shared" si="139"/>
        <v>587.25</v>
      </c>
      <c r="AR215" s="21">
        <f t="shared" si="183"/>
        <v>86.131</v>
      </c>
      <c r="AS215" s="35">
        <f t="shared" si="149"/>
        <v>0.13341504943914487</v>
      </c>
      <c r="AT215" s="36">
        <f t="shared" si="150"/>
        <v>0.12896206386291492</v>
      </c>
      <c r="AU215" s="4">
        <f t="shared" si="151"/>
        <v>31.229377916079454</v>
      </c>
      <c r="AV215" s="4">
        <f t="shared" si="152"/>
        <v>0.2616338724753371</v>
      </c>
      <c r="AW215" s="4">
        <f t="shared" si="153"/>
        <v>0.017169274375178303</v>
      </c>
      <c r="AX215" s="21">
        <f t="shared" si="184"/>
        <v>33.246</v>
      </c>
      <c r="AY215" s="36">
        <f t="shared" si="154"/>
        <v>-0.19614159292035402</v>
      </c>
      <c r="AZ215" s="36">
        <f t="shared" si="155"/>
        <v>-0.48540990033381787</v>
      </c>
      <c r="BA215" s="36">
        <f t="shared" si="156"/>
        <v>-0.0675</v>
      </c>
      <c r="BB215" s="6">
        <f t="shared" si="169"/>
        <v>0.4249178290677472</v>
      </c>
      <c r="BC215" s="6">
        <f t="shared" si="179"/>
        <v>0.012608505813380244</v>
      </c>
      <c r="BD215" s="4">
        <f t="shared" si="170"/>
        <v>0.7885079226520941</v>
      </c>
      <c r="BE215" s="4">
        <f>SUMPRODUCT(BC$4:BC215,$BD$143:BD$354)</f>
        <v>0.2522201877964807</v>
      </c>
      <c r="BF215" s="23">
        <f t="shared" si="171"/>
        <v>0.2522201877964807</v>
      </c>
      <c r="BG215" s="48"/>
    </row>
    <row r="216" spans="5:59" ht="15">
      <c r="E216" s="1">
        <f t="shared" si="172"/>
        <v>212</v>
      </c>
      <c r="F216" s="1">
        <f t="shared" si="157"/>
        <v>1962</v>
      </c>
      <c r="G216" s="3">
        <f t="shared" si="185"/>
        <v>1.3922000000000003</v>
      </c>
      <c r="H216" s="3">
        <f t="shared" si="186"/>
        <v>0.5229200000000006</v>
      </c>
      <c r="I216" s="5">
        <f t="shared" si="158"/>
        <v>0.3080289979746383</v>
      </c>
      <c r="J216" s="5">
        <f t="shared" si="173"/>
        <v>0.4912757064562243</v>
      </c>
      <c r="K216" s="4">
        <f t="shared" si="159"/>
        <v>1.1158152955691383</v>
      </c>
      <c r="L216" s="4">
        <f t="shared" si="160"/>
        <v>0.0007512222248823808</v>
      </c>
      <c r="M216" s="4">
        <f t="shared" si="140"/>
        <v>1.762730278991074</v>
      </c>
      <c r="N216" s="4">
        <f t="shared" si="161"/>
        <v>0.0013242021620512145</v>
      </c>
      <c r="O216" s="4">
        <f>SUMPRODUCT($M$4:M216,L$142:$L$354)</f>
        <v>1.1087847162909168</v>
      </c>
      <c r="P216" s="4">
        <f t="shared" si="162"/>
        <v>0.6539455627001571</v>
      </c>
      <c r="Q216" s="4">
        <f t="shared" si="174"/>
        <v>16.43355726108692</v>
      </c>
      <c r="R216" s="4">
        <f t="shared" si="175"/>
        <v>22.485233504157392</v>
      </c>
      <c r="S216" s="4">
        <f t="shared" si="181"/>
        <v>0.04769473359706219</v>
      </c>
      <c r="T216" s="5">
        <f t="shared" si="176"/>
        <v>305.7296991166417</v>
      </c>
      <c r="U216" s="4">
        <f t="shared" si="163"/>
        <v>310.1806570171351</v>
      </c>
      <c r="V216" s="4">
        <f t="shared" si="141"/>
        <v>0.023431263942138143</v>
      </c>
      <c r="W216" s="4">
        <f>SUMPRODUCT($J$4:J216,$S$142:S$354)</f>
        <v>2.683729959375714</v>
      </c>
      <c r="X216" s="6">
        <f t="shared" si="134"/>
        <v>0.5476542968990851</v>
      </c>
      <c r="Y216" s="4">
        <f t="shared" si="164"/>
        <v>1962</v>
      </c>
      <c r="Z216" s="4">
        <f t="shared" si="177"/>
        <v>212</v>
      </c>
      <c r="AA216" s="3">
        <f t="shared" si="187"/>
        <v>83.6264</v>
      </c>
      <c r="AB216" s="6">
        <f t="shared" si="166"/>
        <v>189.9617745</v>
      </c>
      <c r="AC216" s="24">
        <f t="shared" si="142"/>
        <v>181.11626480492953</v>
      </c>
      <c r="AD216" s="4">
        <f t="shared" si="143"/>
        <v>7.517630727545907</v>
      </c>
      <c r="AE216" s="4">
        <f t="shared" si="144"/>
        <v>8.845509695070461</v>
      </c>
      <c r="AF216" s="6">
        <f t="shared" si="137"/>
        <v>1361.5651975558794</v>
      </c>
      <c r="AG216" s="30">
        <f t="shared" si="182"/>
        <v>0.34761762374113186</v>
      </c>
      <c r="AH216" s="21">
        <f t="shared" si="130"/>
        <v>1.20693292</v>
      </c>
      <c r="AI216" s="47">
        <f t="shared" si="167"/>
        <v>3.1819329200000004</v>
      </c>
      <c r="AJ216" s="4">
        <f t="shared" si="145"/>
        <v>2.316858548185278</v>
      </c>
      <c r="AK216" s="4">
        <f t="shared" si="146"/>
        <v>120.49707523873421</v>
      </c>
      <c r="AL216" s="4">
        <f t="shared" si="147"/>
        <v>0.8650743718147225</v>
      </c>
      <c r="AM216" s="5">
        <f t="shared" si="178"/>
        <v>279.17467879818594</v>
      </c>
      <c r="AN216" s="26">
        <f t="shared" si="168"/>
        <v>0.025931836907002008</v>
      </c>
      <c r="AO216" s="4">
        <f t="shared" si="148"/>
        <v>1.133868458428588</v>
      </c>
      <c r="AP216" s="21">
        <f t="shared" si="135"/>
        <v>22.400000000000002</v>
      </c>
      <c r="AQ216" s="21">
        <f t="shared" si="139"/>
        <v>594.5</v>
      </c>
      <c r="AR216" s="21">
        <f t="shared" si="183"/>
        <v>88.05199999999999</v>
      </c>
      <c r="AS216" s="35">
        <f t="shared" si="149"/>
        <v>0.13302063326093233</v>
      </c>
      <c r="AT216" s="36">
        <f t="shared" si="150"/>
        <v>0.12563520071890058</v>
      </c>
      <c r="AU216" s="4">
        <f t="shared" si="151"/>
        <v>31.30060249914218</v>
      </c>
      <c r="AV216" s="4">
        <f t="shared" si="152"/>
        <v>0.2646253049639716</v>
      </c>
      <c r="AW216" s="4">
        <f t="shared" si="153"/>
        <v>0.017380881187056593</v>
      </c>
      <c r="AX216" s="21">
        <f t="shared" si="184"/>
        <v>34.132</v>
      </c>
      <c r="AY216" s="36">
        <f t="shared" si="154"/>
        <v>-0.20136873156342183</v>
      </c>
      <c r="AZ216" s="36">
        <f t="shared" si="155"/>
        <v>-0.4951547831410209</v>
      </c>
      <c r="BA216" s="36">
        <f t="shared" si="156"/>
        <v>-0.06833333333333334</v>
      </c>
      <c r="BB216" s="6">
        <f t="shared" si="169"/>
        <v>0.43835309566047104</v>
      </c>
      <c r="BC216" s="6">
        <f t="shared" si="179"/>
        <v>0.013435266592723816</v>
      </c>
      <c r="BD216" s="4">
        <f t="shared" si="170"/>
        <v>0.7880235356976734</v>
      </c>
      <c r="BE216" s="4">
        <f>SUMPRODUCT(BC$4:BC216,$BD$142:BD$354)</f>
        <v>0.2574066013459731</v>
      </c>
      <c r="BF216" s="23">
        <f t="shared" si="171"/>
        <v>0.2574066013459731</v>
      </c>
      <c r="BG216" s="48"/>
    </row>
    <row r="217" spans="5:59" ht="15">
      <c r="E217" s="1">
        <f t="shared" si="172"/>
        <v>213</v>
      </c>
      <c r="F217" s="1">
        <f t="shared" si="157"/>
        <v>1963</v>
      </c>
      <c r="G217" s="3">
        <f t="shared" si="185"/>
        <v>1.4544500000000002</v>
      </c>
      <c r="H217" s="3">
        <f t="shared" si="186"/>
        <v>0.5231000000000006</v>
      </c>
      <c r="I217" s="5">
        <f t="shared" si="158"/>
        <v>0.32160419987641875</v>
      </c>
      <c r="J217" s="5">
        <f t="shared" si="173"/>
        <v>0.5126464763375937</v>
      </c>
      <c r="K217" s="4">
        <f t="shared" si="159"/>
        <v>1.1432993237859883</v>
      </c>
      <c r="L217" s="4">
        <f t="shared" si="160"/>
        <v>0.0007593293761613389</v>
      </c>
      <c r="M217" s="4">
        <f t="shared" si="140"/>
        <v>1.8245647669523068</v>
      </c>
      <c r="N217" s="4">
        <f t="shared" si="161"/>
        <v>0.001385445626255854</v>
      </c>
      <c r="O217" s="4">
        <f>SUMPRODUCT($M$4:M217,L$141:$L$354)</f>
        <v>1.1417990506146698</v>
      </c>
      <c r="P217" s="4">
        <f t="shared" si="162"/>
        <v>0.682765716337637</v>
      </c>
      <c r="Q217" s="4">
        <f t="shared" si="174"/>
        <v>17.02166847162055</v>
      </c>
      <c r="R217" s="4">
        <f t="shared" si="175"/>
        <v>23.331089412066117</v>
      </c>
      <c r="S217" s="4">
        <f t="shared" si="181"/>
        <v>0.04785679453733743</v>
      </c>
      <c r="T217" s="5">
        <f t="shared" si="176"/>
        <v>306.6518952370856</v>
      </c>
      <c r="U217" s="4">
        <f t="shared" si="163"/>
        <v>311.2964723127042</v>
      </c>
      <c r="V217" s="4">
        <f t="shared" si="141"/>
        <v>0.02453361708837824</v>
      </c>
      <c r="W217" s="4">
        <f>SUMPRODUCT($J$4:J217,$S$141:S$354)</f>
        <v>2.778903110191542</v>
      </c>
      <c r="X217" s="6">
        <f t="shared" si="134"/>
        <v>0.5668653602319884</v>
      </c>
      <c r="Y217" s="4">
        <f t="shared" si="164"/>
        <v>1963</v>
      </c>
      <c r="Z217" s="4">
        <f t="shared" si="177"/>
        <v>213</v>
      </c>
      <c r="AA217" s="3">
        <f t="shared" si="187"/>
        <v>84.4286</v>
      </c>
      <c r="AB217" s="6">
        <f t="shared" si="166"/>
        <v>190.76397450000002</v>
      </c>
      <c r="AC217" s="24">
        <f t="shared" si="142"/>
        <v>181.74934606023538</v>
      </c>
      <c r="AD217" s="4">
        <f t="shared" si="143"/>
        <v>7.540113551752579</v>
      </c>
      <c r="AE217" s="4">
        <f t="shared" si="144"/>
        <v>9.014628439764635</v>
      </c>
      <c r="AF217" s="6">
        <f t="shared" si="137"/>
        <v>1370.4107072509498</v>
      </c>
      <c r="AG217" s="30">
        <f t="shared" si="182"/>
        <v>0.35192559207716995</v>
      </c>
      <c r="AH217" s="21">
        <f t="shared" si="130"/>
        <v>1.22639958</v>
      </c>
      <c r="AI217" s="47">
        <f t="shared" si="167"/>
        <v>3.2013995800000004</v>
      </c>
      <c r="AJ217" s="4">
        <f t="shared" si="145"/>
        <v>2.3248175104465654</v>
      </c>
      <c r="AK217" s="4">
        <f t="shared" si="146"/>
        <v>120.45666032350596</v>
      </c>
      <c r="AL217" s="4">
        <f t="shared" si="147"/>
        <v>0.876582069553435</v>
      </c>
      <c r="AM217" s="5">
        <f t="shared" si="178"/>
        <v>280.03975317000067</v>
      </c>
      <c r="AN217" s="26">
        <f t="shared" si="168"/>
        <v>0.029035900704567724</v>
      </c>
      <c r="AO217" s="4">
        <f t="shared" si="148"/>
        <v>1.1300686867749714</v>
      </c>
      <c r="AP217" s="21">
        <f t="shared" si="135"/>
        <v>22.6</v>
      </c>
      <c r="AQ217" s="21">
        <f t="shared" si="139"/>
        <v>601.75</v>
      </c>
      <c r="AR217" s="21">
        <f t="shared" si="183"/>
        <v>89.973</v>
      </c>
      <c r="AS217" s="35">
        <f t="shared" si="149"/>
        <v>0.13262399738894728</v>
      </c>
      <c r="AT217" s="36">
        <f t="shared" si="150"/>
        <v>0.12227841563354251</v>
      </c>
      <c r="AU217" s="4">
        <f t="shared" si="151"/>
        <v>31.372294612538393</v>
      </c>
      <c r="AV217" s="4">
        <f t="shared" si="152"/>
        <v>0.26763637372661253</v>
      </c>
      <c r="AW217" s="4">
        <f t="shared" si="153"/>
        <v>0.017596279603858497</v>
      </c>
      <c r="AX217" s="21">
        <f t="shared" si="184"/>
        <v>35.018</v>
      </c>
      <c r="AY217" s="36">
        <f t="shared" si="154"/>
        <v>-0.20659587020648973</v>
      </c>
      <c r="AZ217" s="36">
        <f t="shared" si="155"/>
        <v>-0.5047869116557909</v>
      </c>
      <c r="BA217" s="36">
        <f t="shared" si="156"/>
        <v>-0.06916666666666667</v>
      </c>
      <c r="BB217" s="6">
        <f t="shared" si="169"/>
        <v>0.4525100578152497</v>
      </c>
      <c r="BC217" s="6">
        <f t="shared" si="179"/>
        <v>0.014156962154778685</v>
      </c>
      <c r="BD217" s="4">
        <f t="shared" si="170"/>
        <v>0.7875378181803866</v>
      </c>
      <c r="BE217" s="4">
        <f>SUMPRODUCT(BC$4:BC217,$BD$141:BD$354)</f>
        <v>0.2629114530450783</v>
      </c>
      <c r="BF217" s="23">
        <f t="shared" si="171"/>
        <v>0.2629114530450783</v>
      </c>
      <c r="BG217" s="48"/>
    </row>
    <row r="218" spans="5:59" ht="15">
      <c r="E218" s="1">
        <f t="shared" si="172"/>
        <v>214</v>
      </c>
      <c r="F218" s="1">
        <f t="shared" si="157"/>
        <v>1964</v>
      </c>
      <c r="G218" s="3">
        <f t="shared" si="185"/>
        <v>1.5158</v>
      </c>
      <c r="H218" s="3">
        <f t="shared" si="186"/>
        <v>0.5193600000000006</v>
      </c>
      <c r="I218" s="5">
        <f t="shared" si="158"/>
        <v>0.3349835917328103</v>
      </c>
      <c r="J218" s="5">
        <f t="shared" si="173"/>
        <v>0.5337132844409044</v>
      </c>
      <c r="K218" s="4">
        <f t="shared" si="159"/>
        <v>1.166463123826286</v>
      </c>
      <c r="L218" s="4">
        <f t="shared" si="160"/>
        <v>0.0007675465760941021</v>
      </c>
      <c r="M218" s="4">
        <f t="shared" si="140"/>
        <v>1.8876928490404399</v>
      </c>
      <c r="N218" s="4">
        <f t="shared" si="161"/>
        <v>0.0014488921829983105</v>
      </c>
      <c r="O218" s="4">
        <f>SUMPRODUCT($M$4:M218,L$140:$L$354)</f>
        <v>1.1765226837916836</v>
      </c>
      <c r="P218" s="4">
        <f t="shared" si="162"/>
        <v>0.7111701652487563</v>
      </c>
      <c r="Q218" s="4">
        <f t="shared" si="174"/>
        <v>17.625308124308784</v>
      </c>
      <c r="R218" s="4">
        <f t="shared" si="175"/>
        <v>24.202365962419</v>
      </c>
      <c r="S218" s="4">
        <f t="shared" si="181"/>
        <v>0.048020474980849624</v>
      </c>
      <c r="T218" s="5">
        <f t="shared" si="176"/>
        <v>307.6043292794556</v>
      </c>
      <c r="U218" s="4">
        <f t="shared" si="163"/>
        <v>312.4397716364902</v>
      </c>
      <c r="V218" s="4">
        <f t="shared" si="141"/>
        <v>0.02562916542244153</v>
      </c>
      <c r="W218" s="4">
        <f>SUMPRODUCT($J$4:J218,$S$140:S$354)</f>
        <v>2.8765906056169035</v>
      </c>
      <c r="X218" s="6">
        <f t="shared" si="134"/>
        <v>0.5864783241792307</v>
      </c>
      <c r="Y218" s="4">
        <f t="shared" si="164"/>
        <v>1964</v>
      </c>
      <c r="Z218" s="4">
        <f t="shared" si="177"/>
        <v>214</v>
      </c>
      <c r="AA218" s="3">
        <f t="shared" si="187"/>
        <v>85.2308</v>
      </c>
      <c r="AB218" s="6">
        <f t="shared" si="166"/>
        <v>191.5661745</v>
      </c>
      <c r="AC218" s="24">
        <f t="shared" si="142"/>
        <v>182.39540543243277</v>
      </c>
      <c r="AD218" s="4">
        <f t="shared" si="143"/>
        <v>7.562829405819183</v>
      </c>
      <c r="AE218" s="4">
        <f t="shared" si="144"/>
        <v>9.170769067567221</v>
      </c>
      <c r="AF218" s="6">
        <f t="shared" si="137"/>
        <v>1379.4253356907145</v>
      </c>
      <c r="AG218" s="30">
        <f t="shared" si="182"/>
        <v>0.35630164451238644</v>
      </c>
      <c r="AH218" s="21">
        <f t="shared" si="130"/>
        <v>1.24586624</v>
      </c>
      <c r="AI218" s="47">
        <f t="shared" si="167"/>
        <v>3.2208662400000003</v>
      </c>
      <c r="AJ218" s="4">
        <f t="shared" si="145"/>
        <v>2.332872374343454</v>
      </c>
      <c r="AK218" s="4">
        <f t="shared" si="146"/>
        <v>120.41650384694236</v>
      </c>
      <c r="AL218" s="4">
        <f t="shared" si="147"/>
        <v>0.8879938656565463</v>
      </c>
      <c r="AM218" s="5">
        <f t="shared" si="178"/>
        <v>280.9163352395541</v>
      </c>
      <c r="AN218" s="26">
        <f t="shared" si="168"/>
        <v>0.03217636984850444</v>
      </c>
      <c r="AO218" s="4">
        <f t="shared" si="148"/>
        <v>1.126252475690481</v>
      </c>
      <c r="AP218" s="21">
        <f t="shared" si="135"/>
        <v>22.8</v>
      </c>
      <c r="AQ218" s="21">
        <f t="shared" si="139"/>
        <v>609</v>
      </c>
      <c r="AR218" s="21">
        <f t="shared" si="183"/>
        <v>91.894</v>
      </c>
      <c r="AS218" s="35">
        <f t="shared" si="149"/>
        <v>0.13222564550121343</v>
      </c>
      <c r="AT218" s="36">
        <f t="shared" si="150"/>
        <v>0.118895728109343</v>
      </c>
      <c r="AU218" s="4">
        <f t="shared" si="151"/>
        <v>31.44439145154152</v>
      </c>
      <c r="AV218" s="4">
        <f t="shared" si="152"/>
        <v>0.27066444096474385</v>
      </c>
      <c r="AW218" s="4">
        <f t="shared" si="153"/>
        <v>0.017815082225619325</v>
      </c>
      <c r="AX218" s="21">
        <f t="shared" si="184"/>
        <v>35.903999999999996</v>
      </c>
      <c r="AY218" s="36">
        <f t="shared" si="154"/>
        <v>-0.21182300884955751</v>
      </c>
      <c r="AZ218" s="36">
        <f t="shared" si="155"/>
        <v>-0.5143088653338219</v>
      </c>
      <c r="BA218" s="36">
        <f t="shared" si="156"/>
        <v>-0.06999999999999999</v>
      </c>
      <c r="BB218" s="6">
        <f t="shared" si="169"/>
        <v>0.4673039875471054</v>
      </c>
      <c r="BC218" s="6">
        <f t="shared" si="179"/>
        <v>0.01479392973185567</v>
      </c>
      <c r="BD218" s="4">
        <f t="shared" si="170"/>
        <v>0.7870507506457075</v>
      </c>
      <c r="BE218" s="4">
        <f>SUMPRODUCT(BC$4:BC218,$BD$140:BD$354)</f>
        <v>0.2687487641916256</v>
      </c>
      <c r="BF218" s="23">
        <f t="shared" si="171"/>
        <v>0.2687487641916256</v>
      </c>
      <c r="BG218" s="48"/>
    </row>
    <row r="219" spans="5:59" ht="15">
      <c r="E219" s="1">
        <f t="shared" si="172"/>
        <v>215</v>
      </c>
      <c r="F219" s="1">
        <f t="shared" si="157"/>
        <v>1965</v>
      </c>
      <c r="G219" s="3">
        <f t="shared" si="185"/>
        <v>1.5762500000000004</v>
      </c>
      <c r="H219" s="3">
        <f t="shared" si="186"/>
        <v>0.5117000000000006</v>
      </c>
      <c r="I219" s="5">
        <f t="shared" si="158"/>
        <v>0.3481000966358087</v>
      </c>
      <c r="J219" s="5">
        <f t="shared" si="173"/>
        <v>0.5538764163640718</v>
      </c>
      <c r="K219" s="4">
        <f t="shared" si="159"/>
        <v>1.1859734870001204</v>
      </c>
      <c r="L219" s="4">
        <f t="shared" si="160"/>
        <v>0.0007758763955252405</v>
      </c>
      <c r="M219" s="4">
        <f t="shared" si="140"/>
        <v>1.951862312725795</v>
      </c>
      <c r="N219" s="4">
        <f t="shared" si="161"/>
        <v>0.0015144038957592496</v>
      </c>
      <c r="O219" s="4">
        <f>SUMPRODUCT($M$4:M219,L$139:$L$354)</f>
        <v>1.212845807567973</v>
      </c>
      <c r="P219" s="4">
        <f t="shared" si="162"/>
        <v>0.7390165051578219</v>
      </c>
      <c r="Q219" s="4">
        <f t="shared" si="174"/>
        <v>18.244895111868537</v>
      </c>
      <c r="R219" s="4">
        <f t="shared" si="175"/>
        <v>25.099926851785266</v>
      </c>
      <c r="S219" s="4">
        <f t="shared" si="181"/>
        <v>0.04818580151513435</v>
      </c>
      <c r="T219" s="5">
        <f t="shared" si="176"/>
        <v>308.588114428058</v>
      </c>
      <c r="U219" s="4">
        <f t="shared" si="163"/>
        <v>313.6062347603165</v>
      </c>
      <c r="V219" s="4">
        <f t="shared" si="141"/>
        <v>0.026688979062833077</v>
      </c>
      <c r="W219" s="4">
        <f>SUMPRODUCT($J$4:J219,$S$139:S$354)</f>
        <v>2.976029992483239</v>
      </c>
      <c r="X219" s="6">
        <f t="shared" si="134"/>
        <v>0.606414830028049</v>
      </c>
      <c r="Y219" s="4">
        <f t="shared" si="164"/>
        <v>1965</v>
      </c>
      <c r="Z219" s="4">
        <f t="shared" si="177"/>
        <v>215</v>
      </c>
      <c r="AA219" s="3">
        <f t="shared" si="187"/>
        <v>86.033</v>
      </c>
      <c r="AB219" s="6">
        <f t="shared" si="166"/>
        <v>192.36837450000002</v>
      </c>
      <c r="AC219" s="24">
        <f t="shared" si="142"/>
        <v>183.05310339476756</v>
      </c>
      <c r="AD219" s="4">
        <f t="shared" si="143"/>
        <v>7.585755603190576</v>
      </c>
      <c r="AE219" s="4">
        <f t="shared" si="144"/>
        <v>9.315271105232455</v>
      </c>
      <c r="AF219" s="6">
        <f t="shared" si="137"/>
        <v>1388.5961047582819</v>
      </c>
      <c r="AG219" s="30">
        <f t="shared" si="182"/>
        <v>0.36073884581096255</v>
      </c>
      <c r="AH219" s="21">
        <f aca="true" t="shared" si="188" ref="AH219:AH229">0.01946666*(Z219-$Z$154)</f>
        <v>1.2653329</v>
      </c>
      <c r="AI219" s="47">
        <f t="shared" si="167"/>
        <v>3.2403329000000003</v>
      </c>
      <c r="AJ219" s="4">
        <f t="shared" si="145"/>
        <v>2.341022449518285</v>
      </c>
      <c r="AK219" s="4">
        <f t="shared" si="146"/>
        <v>120.37660260934186</v>
      </c>
      <c r="AL219" s="4">
        <f t="shared" si="147"/>
        <v>0.8993104504817153</v>
      </c>
      <c r="AM219" s="5">
        <f t="shared" si="178"/>
        <v>281.8043291052106</v>
      </c>
      <c r="AN219" s="26">
        <f t="shared" si="168"/>
        <v>0.03535273130318771</v>
      </c>
      <c r="AO219" s="4">
        <f t="shared" si="148"/>
        <v>1.1224241014508025</v>
      </c>
      <c r="AP219" s="21">
        <f t="shared" si="135"/>
        <v>23</v>
      </c>
      <c r="AQ219" s="21">
        <f aca="true" t="shared" si="189" ref="AQ219:AQ253">7.25*(Z219-$Z$154)+$AQ$154</f>
        <v>616.25</v>
      </c>
      <c r="AR219" s="21">
        <f t="shared" si="183"/>
        <v>93.815</v>
      </c>
      <c r="AS219" s="35">
        <f t="shared" si="149"/>
        <v>0.13182602397306328</v>
      </c>
      <c r="AT219" s="36">
        <f t="shared" si="150"/>
        <v>0.11549072271420341</v>
      </c>
      <c r="AU219" s="4">
        <f t="shared" si="151"/>
        <v>31.516837007278074</v>
      </c>
      <c r="AV219" s="4">
        <f t="shared" si="152"/>
        <v>0.2737071543056791</v>
      </c>
      <c r="AW219" s="4">
        <f t="shared" si="153"/>
        <v>0.018036942290548127</v>
      </c>
      <c r="AX219" s="21">
        <f t="shared" si="184"/>
        <v>36.79</v>
      </c>
      <c r="AY219" s="36">
        <f t="shared" si="154"/>
        <v>-0.21705014749262538</v>
      </c>
      <c r="AZ219" s="36">
        <f t="shared" si="155"/>
        <v>-0.5237231361164087</v>
      </c>
      <c r="BA219" s="36">
        <f t="shared" si="156"/>
        <v>-0.07083333333333335</v>
      </c>
      <c r="BB219" s="6">
        <f t="shared" si="169"/>
        <v>0.482643886796059</v>
      </c>
      <c r="BC219" s="6">
        <f t="shared" si="179"/>
        <v>0.015339899248953626</v>
      </c>
      <c r="BD219" s="4">
        <f t="shared" si="170"/>
        <v>0.7865623124135327</v>
      </c>
      <c r="BE219" s="4">
        <f>SUMPRODUCT(BC$4:BC219,$BD$139:BD$354)</f>
        <v>0.2749275534211674</v>
      </c>
      <c r="BF219" s="23">
        <f t="shared" si="171"/>
        <v>0.2749275534211674</v>
      </c>
      <c r="BG219" s="48"/>
    </row>
    <row r="220" spans="5:59" ht="15">
      <c r="E220" s="1">
        <f t="shared" si="172"/>
        <v>216</v>
      </c>
      <c r="F220" s="1">
        <f t="shared" si="157"/>
        <v>1966</v>
      </c>
      <c r="G220" s="3">
        <f t="shared" si="185"/>
        <v>1.6358000000000001</v>
      </c>
      <c r="H220" s="3">
        <f t="shared" si="186"/>
        <v>0.5001200000000006</v>
      </c>
      <c r="I220" s="5">
        <f t="shared" si="158"/>
        <v>0.36090816325364383</v>
      </c>
      <c r="J220" s="5">
        <f t="shared" si="173"/>
        <v>0.5734692192290229</v>
      </c>
      <c r="K220" s="4">
        <f t="shared" si="159"/>
        <v>1.2015426175173338</v>
      </c>
      <c r="L220" s="4">
        <f t="shared" si="160"/>
        <v>0.000784321506240552</v>
      </c>
      <c r="M220" s="4">
        <f t="shared" si="140"/>
        <v>2.0168608432629793</v>
      </c>
      <c r="N220" s="4">
        <f t="shared" si="161"/>
        <v>0.0015818673344656098</v>
      </c>
      <c r="O220" s="4">
        <f>SUMPRODUCT($M$4:M220,L$138:$L$354)</f>
        <v>1.2506528126754934</v>
      </c>
      <c r="P220" s="4">
        <f t="shared" si="162"/>
        <v>0.7662080305874859</v>
      </c>
      <c r="Q220" s="4">
        <f t="shared" si="174"/>
        <v>18.875593543484854</v>
      </c>
      <c r="R220" s="4">
        <f t="shared" si="175"/>
        <v>26.016998276990325</v>
      </c>
      <c r="S220" s="4">
        <f t="shared" si="181"/>
        <v>0.048352801467318574</v>
      </c>
      <c r="T220" s="5">
        <f t="shared" si="176"/>
        <v>309.5965771211017</v>
      </c>
      <c r="U220" s="4">
        <f t="shared" si="163"/>
        <v>314.79220824731664</v>
      </c>
      <c r="V220" s="4">
        <f t="shared" si="141"/>
        <v>0.027728843304999137</v>
      </c>
      <c r="W220" s="4">
        <f>SUMPRODUCT($J$4:J220,$S$138:S$354)</f>
        <v>3.07714271540108</v>
      </c>
      <c r="X220" s="6">
        <f t="shared" si="134"/>
        <v>0.6266089147187538</v>
      </c>
      <c r="Y220" s="4">
        <f t="shared" si="164"/>
        <v>1966</v>
      </c>
      <c r="Z220" s="4">
        <f t="shared" si="177"/>
        <v>216</v>
      </c>
      <c r="AA220" s="3">
        <f t="shared" si="187"/>
        <v>86.8352</v>
      </c>
      <c r="AB220" s="6">
        <f t="shared" si="166"/>
        <v>193.1705745</v>
      </c>
      <c r="AC220" s="24">
        <f t="shared" si="142"/>
        <v>183.72124075212213</v>
      </c>
      <c r="AD220" s="4">
        <f t="shared" si="143"/>
        <v>7.608871843781991</v>
      </c>
      <c r="AE220" s="4">
        <f t="shared" si="144"/>
        <v>9.449333747877859</v>
      </c>
      <c r="AF220" s="6">
        <f t="shared" si="137"/>
        <v>1397.9113758635144</v>
      </c>
      <c r="AG220" s="30">
        <f t="shared" si="182"/>
        <v>0.36523098807594667</v>
      </c>
      <c r="AH220" s="21">
        <f t="shared" si="188"/>
        <v>1.28479956</v>
      </c>
      <c r="AI220" s="47">
        <f t="shared" si="167"/>
        <v>3.2597995600000003</v>
      </c>
      <c r="AJ220" s="4">
        <f t="shared" si="145"/>
        <v>2.3492670489389154</v>
      </c>
      <c r="AK220" s="4">
        <f t="shared" si="146"/>
        <v>120.33695346954278</v>
      </c>
      <c r="AL220" s="4">
        <f t="shared" si="147"/>
        <v>0.9105325110610849</v>
      </c>
      <c r="AM220" s="5">
        <f t="shared" si="178"/>
        <v>282.70363955569235</v>
      </c>
      <c r="AN220" s="26">
        <f t="shared" si="168"/>
        <v>0.0385644757933251</v>
      </c>
      <c r="AO220" s="4">
        <f t="shared" si="148"/>
        <v>1.1185873505911743</v>
      </c>
      <c r="AP220" s="21">
        <f t="shared" si="135"/>
        <v>23.200000000000003</v>
      </c>
      <c r="AQ220" s="21">
        <f t="shared" si="189"/>
        <v>623.5</v>
      </c>
      <c r="AR220" s="21">
        <f t="shared" si="183"/>
        <v>95.736</v>
      </c>
      <c r="AS220" s="35">
        <f t="shared" si="149"/>
        <v>0.13142552805869706</v>
      </c>
      <c r="AT220" s="36">
        <f t="shared" si="150"/>
        <v>0.11206659509107586</v>
      </c>
      <c r="AU220" s="4">
        <f t="shared" si="151"/>
        <v>31.58958134782694</v>
      </c>
      <c r="AV220" s="4">
        <f t="shared" si="152"/>
        <v>0.27676241660873147</v>
      </c>
      <c r="AW220" s="4">
        <f t="shared" si="153"/>
        <v>0.018261549403797334</v>
      </c>
      <c r="AX220" s="21">
        <f t="shared" si="184"/>
        <v>37.676</v>
      </c>
      <c r="AY220" s="36">
        <f t="shared" si="154"/>
        <v>-0.22227728613569325</v>
      </c>
      <c r="AZ220" s="36">
        <f t="shared" si="155"/>
        <v>-0.5330321323450739</v>
      </c>
      <c r="BA220" s="36">
        <f t="shared" si="156"/>
        <v>-0.07166666666666667</v>
      </c>
      <c r="BB220" s="6">
        <f>BA220+AZ220+AY220+AW220+AV220+AN220+AG220+X220</f>
        <v>0.49845225945312066</v>
      </c>
      <c r="BC220" s="6">
        <f t="shared" si="179"/>
        <v>0.015808372657061642</v>
      </c>
      <c r="BD220" s="4">
        <f t="shared" si="170"/>
        <v>0.7860724814904408</v>
      </c>
      <c r="BE220" s="4">
        <f>SUMPRODUCT(BC$4:BC220,$BD$138:BD$354)</f>
        <v>0.2814518658558224</v>
      </c>
      <c r="BF220" s="23">
        <f t="shared" si="171"/>
        <v>0.2814518658558224</v>
      </c>
      <c r="BG220" s="48"/>
    </row>
    <row r="221" spans="5:59" ht="15">
      <c r="E221" s="1">
        <f t="shared" si="172"/>
        <v>217</v>
      </c>
      <c r="F221" s="1">
        <f t="shared" si="157"/>
        <v>1967</v>
      </c>
      <c r="G221" s="3">
        <f t="shared" si="185"/>
        <v>1.6944500000000002</v>
      </c>
      <c r="H221" s="3">
        <f t="shared" si="186"/>
        <v>0.48462000000000066</v>
      </c>
      <c r="I221" s="5">
        <f t="shared" si="158"/>
        <v>0.37335734409235805</v>
      </c>
      <c r="J221" s="5">
        <f t="shared" si="173"/>
        <v>0.5921034711644327</v>
      </c>
      <c r="K221" s="4">
        <f t="shared" si="159"/>
        <v>1.21360918474321</v>
      </c>
      <c r="L221" s="4">
        <f t="shared" si="160"/>
        <v>0.0007928846858321927</v>
      </c>
      <c r="M221" s="4">
        <f t="shared" si="140"/>
        <v>2.0824634097098444</v>
      </c>
      <c r="N221" s="4">
        <f t="shared" si="161"/>
        <v>0.0016511533463648268</v>
      </c>
      <c r="O221" s="4">
        <f>SUMPRODUCT($M$4:M221,L$137:$L$354)</f>
        <v>1.2898257682017682</v>
      </c>
      <c r="P221" s="4">
        <f t="shared" si="162"/>
        <v>0.7926376415080763</v>
      </c>
      <c r="Q221" s="4">
        <f t="shared" si="174"/>
        <v>19.51690517834497</v>
      </c>
      <c r="R221" s="4">
        <f t="shared" si="175"/>
        <v>26.95305012168822</v>
      </c>
      <c r="S221" s="4">
        <f t="shared" si="181"/>
        <v>0.04852150293511785</v>
      </c>
      <c r="T221" s="5">
        <f t="shared" si="176"/>
        <v>310.62929341608424</v>
      </c>
      <c r="U221" s="4">
        <f t="shared" si="163"/>
        <v>315.993750864834</v>
      </c>
      <c r="V221" s="4">
        <f t="shared" si="141"/>
        <v>0.028729750313998492</v>
      </c>
      <c r="W221" s="4">
        <f>SUMPRODUCT($J$4:J221,$S$137:S$354)</f>
        <v>3.179333972760764</v>
      </c>
      <c r="X221" s="6">
        <f t="shared" si="134"/>
        <v>0.6469906644568914</v>
      </c>
      <c r="Y221" s="4">
        <f t="shared" si="164"/>
        <v>1967</v>
      </c>
      <c r="Z221" s="4">
        <f t="shared" si="177"/>
        <v>217</v>
      </c>
      <c r="AA221" s="3">
        <f t="shared" si="187"/>
        <v>87.6374</v>
      </c>
      <c r="AB221" s="6">
        <f t="shared" si="166"/>
        <v>193.9727745</v>
      </c>
      <c r="AC221" s="24">
        <f t="shared" si="142"/>
        <v>184.39874377094543</v>
      </c>
      <c r="AD221" s="4">
        <f t="shared" si="143"/>
        <v>7.6321599639505875</v>
      </c>
      <c r="AE221" s="4">
        <f t="shared" si="144"/>
        <v>9.574030729054584</v>
      </c>
      <c r="AF221" s="6">
        <f t="shared" si="137"/>
        <v>1407.3607096113924</v>
      </c>
      <c r="AG221" s="30">
        <f t="shared" si="182"/>
        <v>0.36977251415305395</v>
      </c>
      <c r="AH221" s="21">
        <f t="shared" si="188"/>
        <v>1.30426622</v>
      </c>
      <c r="AI221" s="47">
        <f t="shared" si="167"/>
        <v>3.2792662200000002</v>
      </c>
      <c r="AJ221" s="4">
        <f t="shared" si="145"/>
        <v>2.3576054889237095</v>
      </c>
      <c r="AK221" s="4">
        <f t="shared" si="146"/>
        <v>120.29755334351064</v>
      </c>
      <c r="AL221" s="4">
        <f t="shared" si="147"/>
        <v>0.9216607310762908</v>
      </c>
      <c r="AM221" s="5">
        <f t="shared" si="178"/>
        <v>283.61417206675344</v>
      </c>
      <c r="AN221" s="26">
        <f t="shared" si="168"/>
        <v>0.0418110978523714</v>
      </c>
      <c r="AO221" s="4">
        <f t="shared" si="148"/>
        <v>1.1147455730892688</v>
      </c>
      <c r="AP221" s="21">
        <f t="shared" si="135"/>
        <v>23.400000000000002</v>
      </c>
      <c r="AQ221" s="21">
        <f t="shared" si="189"/>
        <v>630.75</v>
      </c>
      <c r="AR221" s="21">
        <f t="shared" si="183"/>
        <v>97.65700000000001</v>
      </c>
      <c r="AS221" s="35">
        <f t="shared" si="149"/>
        <v>0.13102450744263178</v>
      </c>
      <c r="AT221" s="36">
        <f t="shared" si="150"/>
        <v>0.10862619330363119</v>
      </c>
      <c r="AU221" s="4">
        <f t="shared" si="151"/>
        <v>31.662579972193264</v>
      </c>
      <c r="AV221" s="4">
        <f t="shared" si="152"/>
        <v>0.2798283588321171</v>
      </c>
      <c r="AW221" s="4">
        <f t="shared" si="153"/>
        <v>0.0184886257076527</v>
      </c>
      <c r="AX221" s="21">
        <f t="shared" si="184"/>
        <v>38.562</v>
      </c>
      <c r="AY221" s="36">
        <f t="shared" si="154"/>
        <v>-0.2275044247787611</v>
      </c>
      <c r="AZ221" s="36">
        <f t="shared" si="155"/>
        <v>-0.542238182459728</v>
      </c>
      <c r="BA221" s="36">
        <f t="shared" si="156"/>
        <v>-0.0725</v>
      </c>
      <c r="BB221" s="6">
        <f aca="true" t="shared" si="190" ref="BB221:BB284">BA221+AZ221+AY221+AW221+AV221+AN221+AG221+X221</f>
        <v>0.5146486537635975</v>
      </c>
      <c r="BC221" s="6">
        <f t="shared" si="179"/>
        <v>0.016196394310476814</v>
      </c>
      <c r="BD221" s="4">
        <f t="shared" si="170"/>
        <v>0.7855812344756449</v>
      </c>
      <c r="BE221" s="4">
        <f>SUMPRODUCT(BC$4:BC221,$BD$137:BD$354)</f>
        <v>0.28832175484633227</v>
      </c>
      <c r="BF221" s="23">
        <f t="shared" si="171"/>
        <v>0.28832175484633227</v>
      </c>
      <c r="BG221" s="48"/>
    </row>
    <row r="222" spans="5:59" ht="15">
      <c r="E222" s="1">
        <f t="shared" si="172"/>
        <v>218</v>
      </c>
      <c r="F222" s="1">
        <f t="shared" si="157"/>
        <v>1968</v>
      </c>
      <c r="G222" s="3">
        <f t="shared" si="185"/>
        <v>1.7522000000000002</v>
      </c>
      <c r="H222" s="3">
        <f t="shared" si="186"/>
        <v>0.46520000000000067</v>
      </c>
      <c r="I222" s="5">
        <f t="shared" si="158"/>
        <v>0.3854106519146624</v>
      </c>
      <c r="J222" s="5">
        <f t="shared" si="173"/>
        <v>0.6099827370351234</v>
      </c>
      <c r="K222" s="4">
        <f t="shared" si="159"/>
        <v>1.222006611050215</v>
      </c>
      <c r="L222" s="4">
        <f t="shared" si="160"/>
        <v>0.0008015688228101304</v>
      </c>
      <c r="M222" s="4">
        <f t="shared" si="140"/>
        <v>2.1484720612766477</v>
      </c>
      <c r="N222" s="4">
        <f t="shared" si="161"/>
        <v>0.0017221482209979768</v>
      </c>
      <c r="O222" s="4">
        <f>SUMPRODUCT($M$4:M222,L$136:$L$354)</f>
        <v>1.3302452472618194</v>
      </c>
      <c r="P222" s="4">
        <f t="shared" si="162"/>
        <v>0.8182268140148283</v>
      </c>
      <c r="Q222" s="4">
        <f t="shared" si="174"/>
        <v>20.165057462593136</v>
      </c>
      <c r="R222" s="4">
        <f t="shared" si="175"/>
        <v>27.902738983257077</v>
      </c>
      <c r="S222" s="4">
        <f t="shared" si="181"/>
        <v>0.04869193481940468</v>
      </c>
      <c r="T222" s="5">
        <f t="shared" si="176"/>
        <v>311.680916452039</v>
      </c>
      <c r="U222" s="4">
        <f t="shared" si="163"/>
        <v>317.20736004957723</v>
      </c>
      <c r="V222" s="4">
        <f t="shared" si="141"/>
        <v>0.029701239672676294</v>
      </c>
      <c r="W222" s="4">
        <f>SUMPRODUCT($J$4:J222,$S$136:S$354)</f>
        <v>3.2824471820623176</v>
      </c>
      <c r="X222" s="6">
        <f t="shared" si="134"/>
        <v>0.6674985788519201</v>
      </c>
      <c r="Y222" s="4">
        <f t="shared" si="164"/>
        <v>1968</v>
      </c>
      <c r="Z222" s="4">
        <f t="shared" si="177"/>
        <v>218</v>
      </c>
      <c r="AA222" s="3">
        <f t="shared" si="187"/>
        <v>88.4396</v>
      </c>
      <c r="AB222" s="6">
        <f t="shared" si="166"/>
        <v>194.77497449999998</v>
      </c>
      <c r="AC222" s="24">
        <f t="shared" si="142"/>
        <v>185.08465088323905</v>
      </c>
      <c r="AD222" s="4">
        <f t="shared" si="143"/>
        <v>7.655603712024303</v>
      </c>
      <c r="AE222" s="4">
        <f t="shared" si="144"/>
        <v>9.690323616760935</v>
      </c>
      <c r="AF222" s="6">
        <f t="shared" si="137"/>
        <v>1416.934740340447</v>
      </c>
      <c r="AG222" s="30">
        <f t="shared" si="182"/>
        <v>0.37435844900318055</v>
      </c>
      <c r="AH222" s="21">
        <f t="shared" si="188"/>
        <v>1.3237328800000001</v>
      </c>
      <c r="AI222" s="47">
        <f t="shared" si="167"/>
        <v>3.29873288</v>
      </c>
      <c r="AJ222" s="4">
        <f t="shared" si="145"/>
        <v>2.366037089164995</v>
      </c>
      <c r="AK222" s="4">
        <f t="shared" si="146"/>
        <v>120.25839920296691</v>
      </c>
      <c r="AL222" s="4">
        <f t="shared" si="147"/>
        <v>0.9326957908350053</v>
      </c>
      <c r="AM222" s="5">
        <f t="shared" si="178"/>
        <v>284.53583279782976</v>
      </c>
      <c r="AN222" s="26">
        <f t="shared" si="168"/>
        <v>0.04509209586812545</v>
      </c>
      <c r="AO222" s="4">
        <f t="shared" si="148"/>
        <v>1.1109017300406805</v>
      </c>
      <c r="AP222" s="21">
        <f t="shared" si="135"/>
        <v>23.6</v>
      </c>
      <c r="AQ222" s="21">
        <f t="shared" si="189"/>
        <v>638</v>
      </c>
      <c r="AR222" s="21">
        <f t="shared" si="183"/>
        <v>99.578</v>
      </c>
      <c r="AS222" s="35">
        <f t="shared" si="149"/>
        <v>0.13062327121626557</v>
      </c>
      <c r="AT222" s="36">
        <f t="shared" si="150"/>
        <v>0.10517205493683253</v>
      </c>
      <c r="AU222" s="4">
        <f t="shared" si="151"/>
        <v>31.735793230611993</v>
      </c>
      <c r="AV222" s="4">
        <f t="shared" si="152"/>
        <v>0.2829033156857037</v>
      </c>
      <c r="AW222" s="4">
        <f t="shared" si="153"/>
        <v>0.01871792245015903</v>
      </c>
      <c r="AX222" s="21">
        <f t="shared" si="184"/>
        <v>39.448</v>
      </c>
      <c r="AY222" s="36">
        <f t="shared" si="154"/>
        <v>-0.2327315634218289</v>
      </c>
      <c r="AZ222" s="36">
        <f t="shared" si="155"/>
        <v>-0.5513435384945763</v>
      </c>
      <c r="BA222" s="36">
        <f t="shared" si="156"/>
        <v>-0.07333333333333333</v>
      </c>
      <c r="BB222" s="6">
        <f t="shared" si="190"/>
        <v>0.5311619266093504</v>
      </c>
      <c r="BC222" s="6">
        <f t="shared" si="179"/>
        <v>0.01651327284575288</v>
      </c>
      <c r="BD222" s="4">
        <f t="shared" si="170"/>
        <v>0.7850885464601813</v>
      </c>
      <c r="BE222" s="4">
        <f>SUMPRODUCT(BC$4:BC222,$BD$136:BD$354)</f>
        <v>0.2955334036847366</v>
      </c>
      <c r="BF222" s="23">
        <f t="shared" si="171"/>
        <v>0.2955334036847366</v>
      </c>
      <c r="BG222" s="48"/>
    </row>
    <row r="223" spans="5:59" ht="15">
      <c r="E223" s="1">
        <f t="shared" si="172"/>
        <v>219</v>
      </c>
      <c r="F223" s="1">
        <f t="shared" si="157"/>
        <v>1969</v>
      </c>
      <c r="G223" s="3">
        <f t="shared" si="185"/>
        <v>1.80905</v>
      </c>
      <c r="H223" s="3">
        <f>H222+0.015</f>
        <v>0.4802000000000007</v>
      </c>
      <c r="I223" s="5">
        <f t="shared" si="158"/>
        <v>0.3970281039726652</v>
      </c>
      <c r="J223" s="5">
        <f t="shared" si="173"/>
        <v>0.6268497555214932</v>
      </c>
      <c r="K223" s="4">
        <f t="shared" si="159"/>
        <v>1.2653721405058422</v>
      </c>
      <c r="L223" s="4">
        <f t="shared" si="160"/>
        <v>0.0008103769219725191</v>
      </c>
      <c r="M223" s="4">
        <f t="shared" si="140"/>
        <v>2.2146827721523477</v>
      </c>
      <c r="N223" s="4">
        <f t="shared" si="161"/>
        <v>0.0017947278080423853</v>
      </c>
      <c r="O223" s="4">
        <f>SUMPRODUCT($M$4:M223,L$135:$L$354)</f>
        <v>1.3717921074183794</v>
      </c>
      <c r="P223" s="4">
        <f t="shared" si="162"/>
        <v>0.8428906647339682</v>
      </c>
      <c r="Q223" s="4">
        <f t="shared" si="174"/>
        <v>20.81905726523503</v>
      </c>
      <c r="R223" s="4">
        <f t="shared" si="175"/>
        <v>28.86473532407836</v>
      </c>
      <c r="S223" s="4">
        <f t="shared" si="181"/>
        <v>0.04886412685843306</v>
      </c>
      <c r="T223" s="5">
        <f t="shared" si="176"/>
        <v>312.75010787560274</v>
      </c>
      <c r="U223" s="4">
        <f t="shared" si="163"/>
        <v>318.42936666062747</v>
      </c>
      <c r="V223" s="4">
        <f t="shared" si="141"/>
        <v>0.030630465974979995</v>
      </c>
      <c r="W223" s="4">
        <f>SUMPRODUCT($J$4:J223,$S$135:S$354)</f>
        <v>3.385998696809641</v>
      </c>
      <c r="X223" s="6">
        <f t="shared" si="134"/>
        <v>0.6880692700937898</v>
      </c>
      <c r="Y223" s="4">
        <f t="shared" si="164"/>
        <v>1969</v>
      </c>
      <c r="Z223" s="4">
        <f t="shared" si="177"/>
        <v>219</v>
      </c>
      <c r="AA223" s="3">
        <f t="shared" si="187"/>
        <v>89.2418</v>
      </c>
      <c r="AB223" s="6">
        <f t="shared" si="166"/>
        <v>195.5771745</v>
      </c>
      <c r="AC223" s="24">
        <f t="shared" si="142"/>
        <v>185.77810080206618</v>
      </c>
      <c r="AD223" s="4">
        <f t="shared" si="143"/>
        <v>7.679188546970771</v>
      </c>
      <c r="AE223" s="4">
        <f t="shared" si="144"/>
        <v>9.799073697933835</v>
      </c>
      <c r="AF223" s="6">
        <f t="shared" si="137"/>
        <v>1426.6250639572079</v>
      </c>
      <c r="AG223" s="30">
        <f t="shared" si="182"/>
        <v>0.3789843382540039</v>
      </c>
      <c r="AH223" s="21">
        <f t="shared" si="188"/>
        <v>1.34319954</v>
      </c>
      <c r="AI223" s="47">
        <f t="shared" si="167"/>
        <v>3.31819954</v>
      </c>
      <c r="AJ223" s="4">
        <f t="shared" si="145"/>
        <v>2.3745611727510183</v>
      </c>
      <c r="AK223" s="4">
        <f t="shared" si="146"/>
        <v>120.21948807405906</v>
      </c>
      <c r="AL223" s="4">
        <f t="shared" si="147"/>
        <v>0.9436383672489819</v>
      </c>
      <c r="AM223" s="5">
        <f t="shared" si="178"/>
        <v>285.46852858866475</v>
      </c>
      <c r="AN223" s="26">
        <f t="shared" si="168"/>
        <v>0.048406972125558806</v>
      </c>
      <c r="AO223" s="4">
        <f t="shared" si="148"/>
        <v>1.1070584363313318</v>
      </c>
      <c r="AP223" s="21">
        <f t="shared" si="135"/>
        <v>23.8</v>
      </c>
      <c r="AQ223" s="21">
        <f t="shared" si="189"/>
        <v>645.25</v>
      </c>
      <c r="AR223" s="21">
        <f t="shared" si="183"/>
        <v>101.499</v>
      </c>
      <c r="AS223" s="35">
        <f t="shared" si="149"/>
        <v>0.13022209233219995</v>
      </c>
      <c r="AT223" s="36">
        <f t="shared" si="150"/>
        <v>0.10170644034711146</v>
      </c>
      <c r="AU223" s="4">
        <f t="shared" si="151"/>
        <v>31.809185805013882</v>
      </c>
      <c r="AV223" s="4">
        <f t="shared" si="152"/>
        <v>0.2859858038105831</v>
      </c>
      <c r="AW223" s="4">
        <f t="shared" si="153"/>
        <v>0.018949216912700195</v>
      </c>
      <c r="AX223" s="21">
        <f t="shared" si="184"/>
        <v>40.334</v>
      </c>
      <c r="AY223" s="36">
        <f t="shared" si="154"/>
        <v>-0.23795870206489678</v>
      </c>
      <c r="AZ223" s="36">
        <f t="shared" si="155"/>
        <v>-0.5603503793848947</v>
      </c>
      <c r="BA223" s="36">
        <f t="shared" si="156"/>
        <v>-0.07416666666666667</v>
      </c>
      <c r="BB223" s="6">
        <f t="shared" si="190"/>
        <v>0.5479198530801775</v>
      </c>
      <c r="BC223" s="6">
        <f t="shared" si="179"/>
        <v>0.01675792647082719</v>
      </c>
      <c r="BD223" s="4">
        <f t="shared" si="170"/>
        <v>0.7845943909188504</v>
      </c>
      <c r="BE223" s="4">
        <f>SUMPRODUCT(BC$4:BC223,$BD$135:BD$354)</f>
        <v>0.30307983128569926</v>
      </c>
      <c r="BF223" s="23">
        <f t="shared" si="171"/>
        <v>0.30307983128569926</v>
      </c>
      <c r="BG223" s="48"/>
    </row>
    <row r="224" spans="5:59" ht="15">
      <c r="E224" s="1">
        <f t="shared" si="172"/>
        <v>220</v>
      </c>
      <c r="F224" s="1">
        <f t="shared" si="157"/>
        <v>1970</v>
      </c>
      <c r="G224" s="3">
        <f t="shared" si="185"/>
        <v>1.8650000000000002</v>
      </c>
      <c r="H224" s="3">
        <f aca="true" t="shared" si="191" ref="H224:H239">H223+0.015</f>
        <v>0.4952000000000007</v>
      </c>
      <c r="I224" s="5">
        <f t="shared" si="158"/>
        <v>0.4091512910355839</v>
      </c>
      <c r="J224" s="5">
        <f t="shared" si="173"/>
        <v>0.6470620771824115</v>
      </c>
      <c r="K224" s="4">
        <f t="shared" si="159"/>
        <v>1.3039866317820055</v>
      </c>
      <c r="L224" s="4">
        <f t="shared" si="160"/>
        <v>0.0008193121100482362</v>
      </c>
      <c r="M224" s="4">
        <f t="shared" si="140"/>
        <v>2.2829758726102676</v>
      </c>
      <c r="N224" s="4">
        <f t="shared" si="161"/>
        <v>0.0018704697793775317</v>
      </c>
      <c r="O224" s="4">
        <f>SUMPRODUCT($M$4:M224,L$134:$L$354)</f>
        <v>1.4143476817417229</v>
      </c>
      <c r="P224" s="4">
        <f t="shared" si="162"/>
        <v>0.8686281908685447</v>
      </c>
      <c r="Q224" s="4">
        <f t="shared" si="174"/>
        <v>21.475837038328553</v>
      </c>
      <c r="R224" s="4">
        <f t="shared" si="175"/>
        <v>29.834619486621374</v>
      </c>
      <c r="S224" s="4">
        <f t="shared" si="181"/>
        <v>0.04903810966380827</v>
      </c>
      <c r="T224" s="5">
        <f t="shared" si="176"/>
        <v>313.8323563818607</v>
      </c>
      <c r="U224" s="4">
        <f t="shared" si="163"/>
        <v>319.6947388011333</v>
      </c>
      <c r="V224" s="4">
        <f t="shared" si="141"/>
        <v>0.03173070110016266</v>
      </c>
      <c r="W224" s="4">
        <f>SUMPRODUCT($J$4:J224,$S$134:S$354)</f>
        <v>3.494021599914573</v>
      </c>
      <c r="X224" s="6">
        <f t="shared" si="134"/>
        <v>0.7092869290630041</v>
      </c>
      <c r="Y224" s="4">
        <f t="shared" si="164"/>
        <v>1970</v>
      </c>
      <c r="Z224" s="4">
        <f t="shared" si="177"/>
        <v>220</v>
      </c>
      <c r="AA224" s="3">
        <f t="shared" si="187"/>
        <v>90.044</v>
      </c>
      <c r="AB224" s="6">
        <f t="shared" si="166"/>
        <v>196.37937449999998</v>
      </c>
      <c r="AC224" s="24">
        <f t="shared" si="142"/>
        <v>186.4783219015752</v>
      </c>
      <c r="AD224" s="4">
        <f t="shared" si="143"/>
        <v>7.7029014579683865</v>
      </c>
      <c r="AE224" s="4">
        <f t="shared" si="144"/>
        <v>9.90105259842477</v>
      </c>
      <c r="AF224" s="6">
        <f t="shared" si="137"/>
        <v>1436.4241376551417</v>
      </c>
      <c r="AG224" s="30">
        <f t="shared" si="182"/>
        <v>0.38364619320881127</v>
      </c>
      <c r="AH224" s="21">
        <f t="shared" si="188"/>
        <v>1.3626662</v>
      </c>
      <c r="AI224" s="47">
        <f t="shared" si="167"/>
        <v>3.3376662</v>
      </c>
      <c r="AJ224" s="4">
        <f t="shared" si="145"/>
        <v>2.38317706618647</v>
      </c>
      <c r="AK224" s="4">
        <f t="shared" si="146"/>
        <v>120.1808170360698</v>
      </c>
      <c r="AL224" s="4">
        <f t="shared" si="147"/>
        <v>0.9544891338135302</v>
      </c>
      <c r="AM224" s="5">
        <f t="shared" si="178"/>
        <v>286.41216695591373</v>
      </c>
      <c r="AN224" s="26">
        <f t="shared" si="168"/>
        <v>0.05175523284694023</v>
      </c>
      <c r="AO224" s="4">
        <f t="shared" si="148"/>
        <v>1.1032179987814654</v>
      </c>
      <c r="AP224" s="21">
        <f t="shared" si="135"/>
        <v>24</v>
      </c>
      <c r="AQ224" s="21">
        <f t="shared" si="189"/>
        <v>652.5</v>
      </c>
      <c r="AR224" s="21">
        <f t="shared" si="183"/>
        <v>103.42</v>
      </c>
      <c r="AS224" s="35">
        <f t="shared" si="149"/>
        <v>0.12982121158586735</v>
      </c>
      <c r="AT224" s="36">
        <f t="shared" si="150"/>
        <v>0.0982313624304588</v>
      </c>
      <c r="AU224" s="4">
        <f t="shared" si="151"/>
        <v>31.882726243899086</v>
      </c>
      <c r="AV224" s="4">
        <f t="shared" si="152"/>
        <v>0.28907450224376163</v>
      </c>
      <c r="AW224" s="4">
        <f t="shared" si="153"/>
        <v>0.019182309660440565</v>
      </c>
      <c r="AX224" s="21">
        <f t="shared" si="184"/>
        <v>41.22</v>
      </c>
      <c r="AY224" s="36">
        <f t="shared" si="154"/>
        <v>-0.24318584070796462</v>
      </c>
      <c r="AZ224" s="36">
        <f t="shared" si="155"/>
        <v>-0.5692608140968282</v>
      </c>
      <c r="BA224" s="36">
        <f t="shared" si="156"/>
        <v>-0.07500000000000001</v>
      </c>
      <c r="BB224" s="6">
        <f t="shared" si="190"/>
        <v>0.565498512218165</v>
      </c>
      <c r="BC224" s="6">
        <f t="shared" si="179"/>
        <v>0.017578659137987507</v>
      </c>
      <c r="BD224" s="4">
        <f t="shared" si="170"/>
        <v>0.7840987395943875</v>
      </c>
      <c r="BE224" s="4">
        <f>SUMPRODUCT(BC$4:BC224,$BD$134:BD$354)</f>
        <v>0.3109510491675337</v>
      </c>
      <c r="BF224" s="23">
        <f t="shared" si="171"/>
        <v>0.3109510491675337</v>
      </c>
      <c r="BG224" s="48"/>
    </row>
    <row r="225" spans="5:59" ht="15">
      <c r="E225" s="1">
        <f t="shared" si="172"/>
        <v>221</v>
      </c>
      <c r="F225" s="1">
        <f t="shared" si="157"/>
        <v>1971</v>
      </c>
      <c r="G225" s="3">
        <f t="shared" si="185"/>
        <v>1.9200500000000003</v>
      </c>
      <c r="H225" s="3">
        <f t="shared" si="191"/>
        <v>0.5102000000000007</v>
      </c>
      <c r="I225" s="5">
        <f t="shared" si="158"/>
        <v>0.4216487100048</v>
      </c>
      <c r="J225" s="5">
        <f t="shared" si="173"/>
        <v>0.6658465315448566</v>
      </c>
      <c r="K225" s="4">
        <f t="shared" si="159"/>
        <v>1.342754758450344</v>
      </c>
      <c r="L225" s="4">
        <f t="shared" si="160"/>
        <v>0.0008283776416255084</v>
      </c>
      <c r="M225" s="4">
        <f t="shared" si="140"/>
        <v>2.353070799616069</v>
      </c>
      <c r="N225" s="4">
        <f t="shared" si="161"/>
        <v>0.0019492312395638085</v>
      </c>
      <c r="O225" s="4">
        <f>SUMPRODUCT($M$4:M225,L$133:$L$354)</f>
        <v>1.4579105882758787</v>
      </c>
      <c r="P225" s="4">
        <f t="shared" si="162"/>
        <v>0.8951602113401904</v>
      </c>
      <c r="Q225" s="4">
        <f t="shared" si="174"/>
        <v>22.16097677735873</v>
      </c>
      <c r="R225" s="4">
        <f t="shared" si="175"/>
        <v>30.8504604421762</v>
      </c>
      <c r="S225" s="4">
        <f t="shared" si="181"/>
        <v>0.049213914758296444</v>
      </c>
      <c r="T225" s="5">
        <f t="shared" si="176"/>
        <v>314.9661558571189</v>
      </c>
      <c r="U225" s="4">
        <f t="shared" si="163"/>
        <v>320.9987254329153</v>
      </c>
      <c r="V225" s="4">
        <f t="shared" si="141"/>
        <v>0.032768914445555915</v>
      </c>
      <c r="W225" s="4">
        <f>SUMPRODUCT($J$4:J225,$S$133:S$354)</f>
        <v>3.603270453974826</v>
      </c>
      <c r="X225" s="6">
        <f t="shared" si="134"/>
        <v>0.7310643889631806</v>
      </c>
      <c r="Y225" s="4">
        <f t="shared" si="164"/>
        <v>1971</v>
      </c>
      <c r="Z225" s="4">
        <f t="shared" si="177"/>
        <v>221</v>
      </c>
      <c r="AA225" s="3">
        <f t="shared" si="187"/>
        <v>90.8462</v>
      </c>
      <c r="AB225" s="6">
        <f t="shared" si="166"/>
        <v>197.1815745</v>
      </c>
      <c r="AC225" s="24">
        <f t="shared" si="142"/>
        <v>187.1846227288897</v>
      </c>
      <c r="AD225" s="4">
        <f t="shared" si="143"/>
        <v>7.7267308028200725</v>
      </c>
      <c r="AE225" s="4">
        <f t="shared" si="144"/>
        <v>9.996951771110304</v>
      </c>
      <c r="AF225" s="6">
        <f t="shared" si="137"/>
        <v>1446.3251902535665</v>
      </c>
      <c r="AG225" s="30">
        <f t="shared" si="182"/>
        <v>0.3883404416552382</v>
      </c>
      <c r="AH225" s="21">
        <f t="shared" si="188"/>
        <v>1.38213286</v>
      </c>
      <c r="AI225" s="47">
        <f t="shared" si="167"/>
        <v>3.35713286</v>
      </c>
      <c r="AJ225" s="4">
        <f t="shared" si="145"/>
        <v>2.3918840994116115</v>
      </c>
      <c r="AK225" s="4">
        <f t="shared" si="146"/>
        <v>120.14238322016423</v>
      </c>
      <c r="AL225" s="4">
        <f t="shared" si="147"/>
        <v>0.9652487605883886</v>
      </c>
      <c r="AM225" s="5">
        <f t="shared" si="178"/>
        <v>287.36665608972726</v>
      </c>
      <c r="AN225" s="26">
        <f t="shared" si="168"/>
        <v>0.05513638822930332</v>
      </c>
      <c r="AO225" s="4">
        <f t="shared" si="148"/>
        <v>1.0993824502035028</v>
      </c>
      <c r="AP225" s="21">
        <f t="shared" si="135"/>
        <v>24.200000000000003</v>
      </c>
      <c r="AQ225" s="21">
        <f t="shared" si="189"/>
        <v>659.75</v>
      </c>
      <c r="AR225" s="21">
        <f t="shared" si="183"/>
        <v>105.34100000000001</v>
      </c>
      <c r="AS225" s="35">
        <f t="shared" si="149"/>
        <v>0.12942084117063116</v>
      </c>
      <c r="AT225" s="36">
        <f t="shared" si="150"/>
        <v>0.09474861324943198</v>
      </c>
      <c r="AU225" s="4">
        <f t="shared" si="151"/>
        <v>31.956386546290126</v>
      </c>
      <c r="AV225" s="4">
        <f t="shared" si="152"/>
        <v>0.2921682349441853</v>
      </c>
      <c r="AW225" s="4">
        <f t="shared" si="153"/>
        <v>0.01941702208276191</v>
      </c>
      <c r="AX225" s="21">
        <f t="shared" si="184"/>
        <v>42.106</v>
      </c>
      <c r="AY225" s="36">
        <f t="shared" si="154"/>
        <v>-0.2484129793510325</v>
      </c>
      <c r="AZ225" s="36">
        <f t="shared" si="155"/>
        <v>-0.5780768845914536</v>
      </c>
      <c r="BA225" s="36">
        <f t="shared" si="156"/>
        <v>-0.07583333333333334</v>
      </c>
      <c r="BB225" s="6">
        <f t="shared" si="190"/>
        <v>0.58380327859885</v>
      </c>
      <c r="BC225" s="6">
        <f t="shared" si="179"/>
        <v>0.0183047663806849</v>
      </c>
      <c r="BD225" s="4">
        <f t="shared" si="170"/>
        <v>0.783601562373304</v>
      </c>
      <c r="BE225" s="4">
        <f>SUMPRODUCT(BC$4:BC225,$BD$133:BD$354)</f>
        <v>0.3191655672524717</v>
      </c>
      <c r="BF225" s="23">
        <f t="shared" si="171"/>
        <v>0.3191655672524717</v>
      </c>
      <c r="BG225" s="48"/>
    </row>
    <row r="226" spans="5:59" ht="15">
      <c r="E226" s="1">
        <f t="shared" si="172"/>
        <v>222</v>
      </c>
      <c r="F226" s="1">
        <f t="shared" si="157"/>
        <v>1972</v>
      </c>
      <c r="G226" s="3">
        <f t="shared" si="185"/>
        <v>1.9742000000000002</v>
      </c>
      <c r="H226" s="3">
        <f t="shared" si="191"/>
        <v>0.5252000000000007</v>
      </c>
      <c r="I226" s="5">
        <f t="shared" si="158"/>
        <v>0.4344961709668126</v>
      </c>
      <c r="J226" s="5">
        <f t="shared" si="173"/>
        <v>0.6865579833708695</v>
      </c>
      <c r="K226" s="4">
        <f t="shared" si="159"/>
        <v>1.378345845662319</v>
      </c>
      <c r="L226" s="4">
        <f t="shared" si="160"/>
        <v>0.0008375769053812563</v>
      </c>
      <c r="M226" s="4">
        <f t="shared" si="140"/>
        <v>2.4249527380176032</v>
      </c>
      <c r="N226" s="4">
        <f t="shared" si="161"/>
        <v>0.0020310844100045887</v>
      </c>
      <c r="O226" s="4">
        <f>SUMPRODUCT($M$4:M226,L$132:$L$354)</f>
        <v>1.50251736705506</v>
      </c>
      <c r="P226" s="4">
        <f t="shared" si="162"/>
        <v>0.9224353709625432</v>
      </c>
      <c r="Q226" s="4">
        <f t="shared" si="174"/>
        <v>22.8538921611221</v>
      </c>
      <c r="R226" s="4">
        <f t="shared" si="175"/>
        <v>31.88208573599716</v>
      </c>
      <c r="S226" s="4">
        <f t="shared" si="181"/>
        <v>0.049391574615573364</v>
      </c>
      <c r="T226" s="5">
        <f t="shared" si="176"/>
        <v>316.12126486202555</v>
      </c>
      <c r="U226" s="4">
        <f t="shared" si="163"/>
        <v>322.34148019136563</v>
      </c>
      <c r="V226" s="4">
        <f t="shared" si="141"/>
        <v>0.03391017986357988</v>
      </c>
      <c r="W226" s="4">
        <f>SUMPRODUCT($J$4:J226,$S$132:S$354)</f>
        <v>3.716251756038658</v>
      </c>
      <c r="X226" s="6">
        <f t="shared" si="134"/>
        <v>0.7533970469450743</v>
      </c>
      <c r="Y226" s="4">
        <f t="shared" si="164"/>
        <v>1972</v>
      </c>
      <c r="Z226" s="4">
        <f t="shared" si="177"/>
        <v>222</v>
      </c>
      <c r="AA226" s="3">
        <f t="shared" si="187"/>
        <v>91.64840000000001</v>
      </c>
      <c r="AB226" s="6">
        <f t="shared" si="166"/>
        <v>197.9837745</v>
      </c>
      <c r="AC226" s="24">
        <f t="shared" si="142"/>
        <v>187.89638352842022</v>
      </c>
      <c r="AD226" s="4">
        <f t="shared" si="143"/>
        <v>7.750666163324007</v>
      </c>
      <c r="AE226" s="4">
        <f t="shared" si="144"/>
        <v>10.087390971579794</v>
      </c>
      <c r="AF226" s="6">
        <f t="shared" si="137"/>
        <v>1456.3221420246769</v>
      </c>
      <c r="AG226" s="30">
        <f t="shared" si="182"/>
        <v>0.39306388387738556</v>
      </c>
      <c r="AH226" s="21">
        <f t="shared" si="188"/>
        <v>1.40159952</v>
      </c>
      <c r="AI226" s="47">
        <f t="shared" si="167"/>
        <v>3.37659952</v>
      </c>
      <c r="AJ226" s="4">
        <f t="shared" si="145"/>
        <v>2.400681605820075</v>
      </c>
      <c r="AK226" s="4">
        <f t="shared" si="146"/>
        <v>120.1041838081736</v>
      </c>
      <c r="AL226" s="4">
        <f t="shared" si="147"/>
        <v>0.975917914179925</v>
      </c>
      <c r="AM226" s="5">
        <f t="shared" si="178"/>
        <v>288.33190485031565</v>
      </c>
      <c r="AN226" s="26">
        <f t="shared" si="168"/>
        <v>0.05854995247931228</v>
      </c>
      <c r="AO226" s="4">
        <f t="shared" si="148"/>
        <v>1.095553579782534</v>
      </c>
      <c r="AP226" s="21">
        <f t="shared" si="135"/>
        <v>24.400000000000002</v>
      </c>
      <c r="AQ226" s="21">
        <f t="shared" si="189"/>
        <v>667</v>
      </c>
      <c r="AR226" s="21">
        <f t="shared" si="183"/>
        <v>107.262</v>
      </c>
      <c r="AS226" s="35">
        <f t="shared" si="149"/>
        <v>0.1290211678490269</v>
      </c>
      <c r="AT226" s="36">
        <f t="shared" si="150"/>
        <v>0.09125978783276403</v>
      </c>
      <c r="AU226" s="4">
        <f t="shared" si="151"/>
        <v>32.03014178986306</v>
      </c>
      <c r="AV226" s="4">
        <f t="shared" si="152"/>
        <v>0.2952659551742485</v>
      </c>
      <c r="AW226" s="4">
        <f t="shared" si="153"/>
        <v>0.019653194193869277</v>
      </c>
      <c r="AX226" s="21">
        <f t="shared" si="184"/>
        <v>42.992000000000004</v>
      </c>
      <c r="AY226" s="36">
        <f t="shared" si="154"/>
        <v>-0.2536401179941003</v>
      </c>
      <c r="AZ226" s="36">
        <f t="shared" si="155"/>
        <v>-0.5868005686335308</v>
      </c>
      <c r="BA226" s="36">
        <f t="shared" si="156"/>
        <v>-0.07666666666666667</v>
      </c>
      <c r="BB226" s="6">
        <f t="shared" si="190"/>
        <v>0.6028226793755921</v>
      </c>
      <c r="BC226" s="6">
        <f t="shared" si="179"/>
        <v>0.019019400776742135</v>
      </c>
      <c r="BD226" s="4">
        <f t="shared" si="170"/>
        <v>0.7831028271528028</v>
      </c>
      <c r="BE226" s="4">
        <f>SUMPRODUCT(BC$4:BC226,$BD$132:BD$354)</f>
        <v>0.32773611763774146</v>
      </c>
      <c r="BF226" s="23">
        <f t="shared" si="171"/>
        <v>0.32773611763774146</v>
      </c>
      <c r="BG226" s="48"/>
    </row>
    <row r="227" spans="5:59" ht="15">
      <c r="E227" s="1">
        <f t="shared" si="172"/>
        <v>223</v>
      </c>
      <c r="F227" s="1">
        <f t="shared" si="157"/>
        <v>1973</v>
      </c>
      <c r="G227" s="3">
        <f t="shared" si="185"/>
        <v>2.02745</v>
      </c>
      <c r="H227" s="3">
        <f t="shared" si="191"/>
        <v>0.5402000000000007</v>
      </c>
      <c r="I227" s="5">
        <f t="shared" si="158"/>
        <v>0.44757970508358624</v>
      </c>
      <c r="J227" s="5">
        <f t="shared" si="173"/>
        <v>0.7061350888516114</v>
      </c>
      <c r="K227" s="4">
        <f t="shared" si="159"/>
        <v>1.4139352060648027</v>
      </c>
      <c r="L227" s="4">
        <f t="shared" si="160"/>
        <v>0.0008469134306265497</v>
      </c>
      <c r="M227" s="4">
        <f t="shared" si="140"/>
        <v>2.4984292061016755</v>
      </c>
      <c r="N227" s="4">
        <f t="shared" si="161"/>
        <v>0.002115953250117137</v>
      </c>
      <c r="O227" s="4">
        <f>SUMPRODUCT($M$4:M227,L$131:$L$354)</f>
        <v>1.5482174922092218</v>
      </c>
      <c r="P227" s="4">
        <f t="shared" si="162"/>
        <v>0.9502117138924537</v>
      </c>
      <c r="Q227" s="4">
        <f t="shared" si="174"/>
        <v>23.570480751007622</v>
      </c>
      <c r="R227" s="4">
        <f t="shared" si="175"/>
        <v>32.95348099383488</v>
      </c>
      <c r="S227" s="4">
        <f t="shared" si="181"/>
        <v>0.049571122702017335</v>
      </c>
      <c r="T227" s="5">
        <f t="shared" si="176"/>
        <v>317.32224213203233</v>
      </c>
      <c r="U227" s="4">
        <f t="shared" si="163"/>
        <v>323.71982603702793</v>
      </c>
      <c r="V227" s="4">
        <f t="shared" si="141"/>
        <v>0.03500390913366314</v>
      </c>
      <c r="W227" s="4">
        <f>SUMPRODUCT($J$4:J227,$S$131:S$354)</f>
        <v>3.8307113003483813</v>
      </c>
      <c r="X227" s="6">
        <f t="shared" si="134"/>
        <v>0.7762251017795565</v>
      </c>
      <c r="Y227" s="4">
        <f t="shared" si="164"/>
        <v>1973</v>
      </c>
      <c r="Z227" s="4">
        <f t="shared" si="177"/>
        <v>223</v>
      </c>
      <c r="AA227" s="3">
        <f t="shared" si="187"/>
        <v>92.45060000000001</v>
      </c>
      <c r="AB227" s="6">
        <f t="shared" si="166"/>
        <v>198.7859745</v>
      </c>
      <c r="AC227" s="24">
        <f t="shared" si="142"/>
        <v>188.61304867122712</v>
      </c>
      <c r="AD227" s="4">
        <f t="shared" si="143"/>
        <v>7.774698215882012</v>
      </c>
      <c r="AE227" s="4">
        <f t="shared" si="144"/>
        <v>10.17292582877289</v>
      </c>
      <c r="AF227" s="6">
        <f t="shared" si="137"/>
        <v>1466.4095329962565</v>
      </c>
      <c r="AG227" s="30">
        <f t="shared" si="182"/>
        <v>0.3978136533314725</v>
      </c>
      <c r="AH227" s="21">
        <f t="shared" si="188"/>
        <v>1.42106618</v>
      </c>
      <c r="AI227" s="47">
        <f t="shared" si="167"/>
        <v>3.39606618</v>
      </c>
      <c r="AJ227" s="4">
        <f t="shared" si="145"/>
        <v>2.409568922275358</v>
      </c>
      <c r="AK227" s="4">
        <f t="shared" si="146"/>
        <v>120.06621603141444</v>
      </c>
      <c r="AL227" s="4">
        <f t="shared" si="147"/>
        <v>0.986497257724642</v>
      </c>
      <c r="AM227" s="5">
        <f t="shared" si="178"/>
        <v>289.3078227644956</v>
      </c>
      <c r="AN227" s="26">
        <f t="shared" si="168"/>
        <v>0.06199544384559146</v>
      </c>
      <c r="AO227" s="4">
        <f t="shared" si="148"/>
        <v>1.0917329601547165</v>
      </c>
      <c r="AP227" s="21">
        <f t="shared" si="135"/>
        <v>24.6</v>
      </c>
      <c r="AQ227" s="21">
        <f t="shared" si="189"/>
        <v>674.25</v>
      </c>
      <c r="AR227" s="21">
        <f t="shared" si="183"/>
        <v>109.18299999999999</v>
      </c>
      <c r="AS227" s="35">
        <f t="shared" si="149"/>
        <v>0.12862235577931735</v>
      </c>
      <c r="AT227" s="36">
        <f t="shared" si="150"/>
        <v>0.08776630543458688</v>
      </c>
      <c r="AU227" s="4">
        <f t="shared" si="151"/>
        <v>32.103969798772084</v>
      </c>
      <c r="AV227" s="4">
        <f t="shared" si="152"/>
        <v>0.2983667315484276</v>
      </c>
      <c r="AW227" s="4">
        <f t="shared" si="153"/>
        <v>0.019890682666573626</v>
      </c>
      <c r="AX227" s="21">
        <f t="shared" si="184"/>
        <v>43.878</v>
      </c>
      <c r="AY227" s="36">
        <f t="shared" si="154"/>
        <v>-0.25886725663716814</v>
      </c>
      <c r="AZ227" s="36">
        <f t="shared" si="155"/>
        <v>-0.5954337824546049</v>
      </c>
      <c r="BA227" s="36">
        <f t="shared" si="156"/>
        <v>-0.07750000000000001</v>
      </c>
      <c r="BB227" s="6">
        <f t="shared" si="190"/>
        <v>0.6224905740798485</v>
      </c>
      <c r="BC227" s="6">
        <f t="shared" si="179"/>
        <v>0.01966789470425645</v>
      </c>
      <c r="BD227" s="4">
        <f t="shared" si="170"/>
        <v>0.7826024996981225</v>
      </c>
      <c r="BE227" s="4">
        <f>SUMPRODUCT(BC$4:BC227,$BD$131:BD$354)</f>
        <v>0.33667405361326935</v>
      </c>
      <c r="BF227" s="23">
        <f t="shared" si="171"/>
        <v>0.33667405361326935</v>
      </c>
      <c r="BG227" s="48"/>
    </row>
    <row r="228" spans="5:59" ht="15">
      <c r="E228" s="1">
        <f t="shared" si="172"/>
        <v>224</v>
      </c>
      <c r="F228" s="1">
        <f t="shared" si="157"/>
        <v>1974</v>
      </c>
      <c r="G228" s="3">
        <f t="shared" si="185"/>
        <v>2.0798</v>
      </c>
      <c r="H228" s="3">
        <f t="shared" si="191"/>
        <v>0.5552000000000007</v>
      </c>
      <c r="I228" s="5">
        <f t="shared" si="158"/>
        <v>0.46087031964083885</v>
      </c>
      <c r="J228" s="5">
        <f t="shared" si="173"/>
        <v>0.7269049774919769</v>
      </c>
      <c r="K228" s="4">
        <f t="shared" si="159"/>
        <v>1.4472247028671847</v>
      </c>
      <c r="L228" s="4">
        <f t="shared" si="160"/>
        <v>0.0008563908941843426</v>
      </c>
      <c r="M228" s="4">
        <f t="shared" si="140"/>
        <v>2.5734785030938987</v>
      </c>
      <c r="N228" s="4">
        <f t="shared" si="161"/>
        <v>0.0022039035564287673</v>
      </c>
      <c r="O228" s="4">
        <f>SUMPRODUCT($M$4:M228,L$130:$L$354)</f>
        <v>1.5950508144963977</v>
      </c>
      <c r="P228" s="4">
        <f t="shared" si="162"/>
        <v>0.978427688597501</v>
      </c>
      <c r="Q228" s="4">
        <f t="shared" si="174"/>
        <v>24.296445153590838</v>
      </c>
      <c r="R228" s="4">
        <f t="shared" si="175"/>
        <v>34.04361086388206</v>
      </c>
      <c r="S228" s="4">
        <f t="shared" si="181"/>
        <v>0.049752593520656974</v>
      </c>
      <c r="T228" s="5">
        <f t="shared" si="176"/>
        <v>318.54800214701544</v>
      </c>
      <c r="U228" s="4">
        <f t="shared" si="163"/>
        <v>325.13376124309275</v>
      </c>
      <c r="V228" s="4">
        <f t="shared" si="141"/>
        <v>0.03616540787330064</v>
      </c>
      <c r="W228" s="4">
        <f>SUMPRODUCT($J$4:J228,$S$130:S$354)</f>
        <v>3.948304144108384</v>
      </c>
      <c r="X228" s="6">
        <f t="shared" si="134"/>
        <v>0.7995418113561183</v>
      </c>
      <c r="Y228" s="4">
        <f t="shared" si="164"/>
        <v>1974</v>
      </c>
      <c r="Z228" s="4">
        <f t="shared" si="177"/>
        <v>224</v>
      </c>
      <c r="AA228" s="3">
        <f t="shared" si="187"/>
        <v>93.25280000000001</v>
      </c>
      <c r="AB228" s="6">
        <f t="shared" si="166"/>
        <v>199.5881745</v>
      </c>
      <c r="AC228" s="24">
        <f t="shared" si="142"/>
        <v>189.33411989306487</v>
      </c>
      <c r="AD228" s="4">
        <f t="shared" si="143"/>
        <v>7.798818615783553</v>
      </c>
      <c r="AE228" s="4">
        <f t="shared" si="144"/>
        <v>10.254054606935142</v>
      </c>
      <c r="AF228" s="6">
        <f t="shared" si="137"/>
        <v>1476.5824588250293</v>
      </c>
      <c r="AG228" s="30">
        <f t="shared" si="182"/>
        <v>0.40258718149768047</v>
      </c>
      <c r="AH228" s="21">
        <f t="shared" si="188"/>
        <v>1.44053284</v>
      </c>
      <c r="AI228" s="47">
        <f t="shared" si="167"/>
        <v>3.41553284</v>
      </c>
      <c r="AJ228" s="4">
        <f t="shared" si="145"/>
        <v>2.41854538912608</v>
      </c>
      <c r="AK228" s="4">
        <f t="shared" si="146"/>
        <v>120.02847716954177</v>
      </c>
      <c r="AL228" s="4">
        <f t="shared" si="147"/>
        <v>0.9969874508739198</v>
      </c>
      <c r="AM228" s="5">
        <f t="shared" si="178"/>
        <v>290.29432002222023</v>
      </c>
      <c r="AN228" s="26">
        <f t="shared" si="168"/>
        <v>0.06547238464856094</v>
      </c>
      <c r="AO228" s="4">
        <f t="shared" si="148"/>
        <v>1.0879219715262107</v>
      </c>
      <c r="AP228" s="21">
        <f t="shared" si="135"/>
        <v>24.8</v>
      </c>
      <c r="AQ228" s="21">
        <f t="shared" si="189"/>
        <v>681.5</v>
      </c>
      <c r="AR228" s="21">
        <f t="shared" si="183"/>
        <v>111.104</v>
      </c>
      <c r="AS228" s="35">
        <f t="shared" si="149"/>
        <v>0.12822454903312677</v>
      </c>
      <c r="AT228" s="36">
        <f t="shared" si="150"/>
        <v>0.08426942851470609</v>
      </c>
      <c r="AU228" s="4">
        <f t="shared" si="151"/>
        <v>32.17785084708272</v>
      </c>
      <c r="AV228" s="4">
        <f t="shared" si="152"/>
        <v>0.3014697355774744</v>
      </c>
      <c r="AW228" s="4">
        <f t="shared" si="153"/>
        <v>0.020129359074884026</v>
      </c>
      <c r="AX228" s="21">
        <f t="shared" si="184"/>
        <v>44.763999999999996</v>
      </c>
      <c r="AY228" s="36">
        <f t="shared" si="154"/>
        <v>-0.264094395280236</v>
      </c>
      <c r="AZ228" s="36">
        <f t="shared" si="155"/>
        <v>-0.6039783832794304</v>
      </c>
      <c r="BA228" s="36">
        <f t="shared" si="156"/>
        <v>-0.07833333333333334</v>
      </c>
      <c r="BB228" s="6">
        <f>BA228+AZ228+AY228+AW228+AV228+AN228+AG228+X228</f>
        <v>0.6427943602617183</v>
      </c>
      <c r="BC228" s="6">
        <f t="shared" si="179"/>
        <v>0.020303786181869787</v>
      </c>
      <c r="BD228" s="4">
        <f t="shared" si="170"/>
        <v>0.7821005434896242</v>
      </c>
      <c r="BE228" s="4">
        <f>SUMPRODUCT(BC$4:BC228,$BD$130:BD$354)</f>
        <v>0.34598680166088325</v>
      </c>
      <c r="BF228" s="23">
        <f t="shared" si="171"/>
        <v>0.34598680166088325</v>
      </c>
      <c r="BG228" s="48"/>
    </row>
    <row r="229" spans="5:59" ht="15">
      <c r="E229" s="1">
        <f t="shared" si="172"/>
        <v>225</v>
      </c>
      <c r="F229" s="1">
        <f t="shared" si="157"/>
        <v>1975</v>
      </c>
      <c r="G229" s="3">
        <f t="shared" si="185"/>
        <v>2.13125</v>
      </c>
      <c r="H229" s="3">
        <f t="shared" si="191"/>
        <v>0.5702000000000007</v>
      </c>
      <c r="I229" s="5">
        <f t="shared" si="158"/>
        <v>0.47428622710321966</v>
      </c>
      <c r="J229" s="5">
        <f t="shared" si="173"/>
        <v>0.7467931586616514</v>
      </c>
      <c r="K229" s="4">
        <f t="shared" si="159"/>
        <v>1.4803706142351298</v>
      </c>
      <c r="L229" s="4">
        <f t="shared" si="160"/>
        <v>0.000866013127616494</v>
      </c>
      <c r="M229" s="4">
        <f t="shared" si="140"/>
        <v>2.6499575162057054</v>
      </c>
      <c r="N229" s="4">
        <f t="shared" si="161"/>
        <v>0.002294897996660139</v>
      </c>
      <c r="O229" s="4">
        <f>SUMPRODUCT($M$4:M229,L$129:$L$354)</f>
        <v>1.64304785606557</v>
      </c>
      <c r="P229" s="4">
        <f t="shared" si="162"/>
        <v>1.0069096601401355</v>
      </c>
      <c r="Q229" s="4">
        <f t="shared" si="174"/>
        <v>25.042282637770306</v>
      </c>
      <c r="R229" s="4">
        <f t="shared" si="175"/>
        <v>35.16855367698167</v>
      </c>
      <c r="S229" s="4">
        <f t="shared" si="181"/>
        <v>0.04993602265739063</v>
      </c>
      <c r="T229" s="5">
        <f t="shared" si="176"/>
        <v>319.81503992848536</v>
      </c>
      <c r="U229" s="4">
        <f t="shared" si="163"/>
        <v>326.5809859459599</v>
      </c>
      <c r="V229" s="4">
        <f t="shared" si="141"/>
        <v>0.03729188009131254</v>
      </c>
      <c r="W229" s="4">
        <f>SUMPRODUCT($J$4:J229,$S$129:S$354)</f>
        <v>4.067445535054459</v>
      </c>
      <c r="X229" s="6">
        <f t="shared" si="134"/>
        <v>0.8233027126423068</v>
      </c>
      <c r="Y229" s="4">
        <f t="shared" si="164"/>
        <v>1975</v>
      </c>
      <c r="Z229" s="4">
        <f t="shared" si="177"/>
        <v>225</v>
      </c>
      <c r="AA229" s="3">
        <f t="shared" si="187"/>
        <v>94.055</v>
      </c>
      <c r="AB229" s="6">
        <f t="shared" si="166"/>
        <v>200.3903745</v>
      </c>
      <c r="AC229" s="24">
        <f t="shared" si="142"/>
        <v>190.05915025471802</v>
      </c>
      <c r="AD229" s="4">
        <f t="shared" si="143"/>
        <v>7.823019893750447</v>
      </c>
      <c r="AE229" s="4">
        <f t="shared" si="144"/>
        <v>10.331224245281987</v>
      </c>
      <c r="AF229" s="6">
        <f t="shared" si="137"/>
        <v>1486.8365134319645</v>
      </c>
      <c r="AG229" s="30">
        <f t="shared" si="182"/>
        <v>0.4073821664691267</v>
      </c>
      <c r="AH229" s="21">
        <f t="shared" si="188"/>
        <v>1.4599995000000001</v>
      </c>
      <c r="AI229" s="47">
        <f t="shared" si="167"/>
        <v>3.4349995</v>
      </c>
      <c r="AJ229" s="4">
        <f t="shared" si="145"/>
        <v>2.4276103502200326</v>
      </c>
      <c r="AK229" s="4">
        <f t="shared" si="146"/>
        <v>119.9909645494353</v>
      </c>
      <c r="AL229" s="4">
        <f t="shared" si="147"/>
        <v>1.0073891497799674</v>
      </c>
      <c r="AM229" s="5">
        <f t="shared" si="178"/>
        <v>291.29130747309415</v>
      </c>
      <c r="AN229" s="26">
        <f t="shared" si="168"/>
        <v>0.06898030130785088</v>
      </c>
      <c r="AO229" s="4">
        <f t="shared" si="148"/>
        <v>1.0841218231440426</v>
      </c>
      <c r="AP229" s="21">
        <f t="shared" si="135"/>
        <v>25</v>
      </c>
      <c r="AQ229" s="21">
        <f t="shared" si="189"/>
        <v>688.75</v>
      </c>
      <c r="AR229" s="21">
        <f t="shared" si="183"/>
        <v>113.025</v>
      </c>
      <c r="AS229" s="35">
        <f t="shared" si="149"/>
        <v>0.12782787383665828</v>
      </c>
      <c r="AT229" s="36">
        <f t="shared" si="150"/>
        <v>0.08077027967717014</v>
      </c>
      <c r="AU229" s="4">
        <f t="shared" si="151"/>
        <v>32.251767394106714</v>
      </c>
      <c r="AV229" s="4">
        <f t="shared" si="152"/>
        <v>0.304574230552482</v>
      </c>
      <c r="AW229" s="4">
        <f t="shared" si="153"/>
        <v>0.02036910832345634</v>
      </c>
      <c r="AX229" s="21">
        <f t="shared" si="184"/>
        <v>45.65</v>
      </c>
      <c r="AY229" s="36">
        <f t="shared" si="154"/>
        <v>-0.2693215339233039</v>
      </c>
      <c r="AZ229" s="36">
        <f t="shared" si="155"/>
        <v>-0.6124361717240518</v>
      </c>
      <c r="BA229" s="36">
        <f t="shared" si="156"/>
        <v>-0.07916666666666666</v>
      </c>
      <c r="BB229" s="6">
        <f t="shared" si="190"/>
        <v>0.6636841469812003</v>
      </c>
      <c r="BC229" s="6">
        <f t="shared" si="179"/>
        <v>0.02088978671948194</v>
      </c>
      <c r="BD229" s="4">
        <f t="shared" si="170"/>
        <v>0.7815969195588838</v>
      </c>
      <c r="BE229" s="4">
        <f>SUMPRODUCT(BC$4:BC229,$BD$129:BD$354)</f>
        <v>0.35568070740478636</v>
      </c>
      <c r="BF229" s="23">
        <f t="shared" si="171"/>
        <v>0.35568070740478636</v>
      </c>
      <c r="BG229" s="48"/>
    </row>
    <row r="230" spans="5:59" ht="15">
      <c r="E230" s="1">
        <f t="shared" si="172"/>
        <v>226</v>
      </c>
      <c r="F230" s="1">
        <f t="shared" si="157"/>
        <v>1976</v>
      </c>
      <c r="G230" s="3">
        <f t="shared" si="185"/>
        <v>2.1818</v>
      </c>
      <c r="H230" s="3">
        <f t="shared" si="191"/>
        <v>0.5852000000000007</v>
      </c>
      <c r="I230" s="5">
        <f t="shared" si="158"/>
        <v>0.48780696660362677</v>
      </c>
      <c r="J230" s="5">
        <f t="shared" si="173"/>
        <v>0.7674248768757324</v>
      </c>
      <c r="K230" s="4">
        <f t="shared" si="159"/>
        <v>1.5117681565206416</v>
      </c>
      <c r="L230" s="4">
        <f t="shared" si="160"/>
        <v>0.0008757841248179492</v>
      </c>
      <c r="M230" s="4">
        <f t="shared" si="140"/>
        <v>2.7278382879633103</v>
      </c>
      <c r="N230" s="4">
        <f t="shared" si="161"/>
        <v>0.0023889974676688406</v>
      </c>
      <c r="O230" s="4">
        <f>SUMPRODUCT($M$4:M230,L$128:$L$354)</f>
        <v>1.6922240978638106</v>
      </c>
      <c r="P230" s="4">
        <f t="shared" si="162"/>
        <v>1.0356141900994997</v>
      </c>
      <c r="Q230" s="4">
        <f t="shared" si="174"/>
        <v>25.79794184664375</v>
      </c>
      <c r="R230" s="4">
        <f t="shared" si="175"/>
        <v>36.313477221838674</v>
      </c>
      <c r="S230" s="4">
        <f t="shared" si="181"/>
        <v>0.05012144682960071</v>
      </c>
      <c r="T230" s="5">
        <f t="shared" si="176"/>
        <v>321.10848717570093</v>
      </c>
      <c r="U230" s="4">
        <f t="shared" si="163"/>
        <v>328.06135656019507</v>
      </c>
      <c r="V230" s="4">
        <f t="shared" si="141"/>
        <v>0.03846444516203989</v>
      </c>
      <c r="W230" s="4">
        <f>SUMPRODUCT($J$4:J230,$S$128:S$354)</f>
        <v>4.189254612614842</v>
      </c>
      <c r="X230" s="6">
        <f t="shared" si="134"/>
        <v>0.8474991196633977</v>
      </c>
      <c r="Y230" s="4">
        <f t="shared" si="164"/>
        <v>1976</v>
      </c>
      <c r="Z230" s="4">
        <f t="shared" si="177"/>
        <v>226</v>
      </c>
      <c r="AA230" s="3">
        <f t="shared" si="187"/>
        <v>94.8572</v>
      </c>
      <c r="AB230" s="6">
        <f t="shared" si="166"/>
        <v>201.1925745</v>
      </c>
      <c r="AC230" s="24">
        <f t="shared" si="142"/>
        <v>190.77393571037143</v>
      </c>
      <c r="AD230" s="4">
        <f t="shared" si="143"/>
        <v>7.84786313760498</v>
      </c>
      <c r="AE230" s="4">
        <f t="shared" si="144"/>
        <v>10.418638789628574</v>
      </c>
      <c r="AF230" s="6">
        <f t="shared" si="137"/>
        <v>1497.1677376772464</v>
      </c>
      <c r="AG230" s="30">
        <f t="shared" si="182"/>
        <v>0.41219654488311486</v>
      </c>
      <c r="AH230" s="21">
        <v>1.46</v>
      </c>
      <c r="AI230" s="47">
        <f t="shared" si="167"/>
        <v>3.435</v>
      </c>
      <c r="AJ230" s="4">
        <f t="shared" si="145"/>
        <v>2.4360059114496164</v>
      </c>
      <c r="AK230" s="4">
        <f t="shared" si="146"/>
        <v>119.99096358880888</v>
      </c>
      <c r="AL230" s="4">
        <f t="shared" si="147"/>
        <v>0.9989940885503836</v>
      </c>
      <c r="AM230" s="5">
        <f t="shared" si="178"/>
        <v>292.2986966228741</v>
      </c>
      <c r="AN230" s="26">
        <f t="shared" si="168"/>
        <v>0.0725187243673372</v>
      </c>
      <c r="AO230" s="4">
        <f t="shared" si="148"/>
        <v>1.0802452502374318</v>
      </c>
      <c r="AP230" s="21">
        <f t="shared" si="135"/>
        <v>25.200000000000003</v>
      </c>
      <c r="AQ230" s="21">
        <f t="shared" si="189"/>
        <v>696</v>
      </c>
      <c r="AR230" s="21">
        <f t="shared" si="183"/>
        <v>114.946</v>
      </c>
      <c r="AS230" s="35">
        <f t="shared" si="149"/>
        <v>0.12742322113241913</v>
      </c>
      <c r="AT230" s="36">
        <f t="shared" si="150"/>
        <v>0.07718809890973861</v>
      </c>
      <c r="AU230" s="4">
        <f t="shared" si="151"/>
        <v>32.325703848285336</v>
      </c>
      <c r="AV230" s="4">
        <f t="shared" si="152"/>
        <v>0.30767956162798415</v>
      </c>
      <c r="AW230" s="4">
        <f t="shared" si="153"/>
        <v>0.020609827244155745</v>
      </c>
      <c r="AX230" s="21">
        <f t="shared" si="184"/>
        <v>46.536</v>
      </c>
      <c r="AY230" s="36">
        <f t="shared" si="154"/>
        <v>-0.2745486725663717</v>
      </c>
      <c r="AZ230" s="36">
        <f t="shared" si="155"/>
        <v>-0.6208088940732788</v>
      </c>
      <c r="BA230" s="36">
        <f t="shared" si="156"/>
        <v>-0.08000000000000002</v>
      </c>
      <c r="BB230" s="6">
        <f t="shared" si="190"/>
        <v>0.6851462111463391</v>
      </c>
      <c r="BC230" s="6">
        <f t="shared" si="179"/>
        <v>0.02146206416513885</v>
      </c>
      <c r="BD230" s="4">
        <f t="shared" si="170"/>
        <v>0.7810915863129966</v>
      </c>
      <c r="BE230" s="4">
        <f>SUMPRODUCT(BC$4:BC230,$BD$128:BD$354)</f>
        <v>0.36575930683457647</v>
      </c>
      <c r="BF230" s="23">
        <f t="shared" si="171"/>
        <v>0.36575930683457647</v>
      </c>
      <c r="BG230" s="48"/>
    </row>
    <row r="231" spans="5:59" ht="15">
      <c r="E231" s="1">
        <f t="shared" si="172"/>
        <v>227</v>
      </c>
      <c r="F231" s="1">
        <f t="shared" si="157"/>
        <v>1977</v>
      </c>
      <c r="G231" s="3">
        <f t="shared" si="185"/>
        <v>2.23145</v>
      </c>
      <c r="H231" s="3">
        <f t="shared" si="191"/>
        <v>0.6002000000000007</v>
      </c>
      <c r="I231" s="5">
        <f t="shared" si="158"/>
        <v>0.5013771402827468</v>
      </c>
      <c r="J231" s="5">
        <f t="shared" si="173"/>
        <v>0.7873520619868647</v>
      </c>
      <c r="K231" s="4">
        <f t="shared" si="159"/>
        <v>1.542920797730389</v>
      </c>
      <c r="L231" s="4">
        <f t="shared" si="160"/>
        <v>0.0008857080499968701</v>
      </c>
      <c r="M231" s="4">
        <f t="shared" si="140"/>
        <v>2.8070089952568567</v>
      </c>
      <c r="N231" s="4">
        <f t="shared" si="161"/>
        <v>0.002486190463512624</v>
      </c>
      <c r="O231" s="4">
        <f>SUMPRODUCT($M$4:M231,L$127:$L$354)</f>
        <v>1.742585326436585</v>
      </c>
      <c r="P231" s="4">
        <f t="shared" si="162"/>
        <v>1.0644236688202717</v>
      </c>
      <c r="Q231" s="4">
        <f t="shared" si="174"/>
        <v>26.57052096840795</v>
      </c>
      <c r="R231" s="4">
        <f t="shared" si="175"/>
        <v>37.489443816963</v>
      </c>
      <c r="S231" s="4">
        <f t="shared" si="181"/>
        <v>0.05030890393729292</v>
      </c>
      <c r="T231" s="5">
        <f t="shared" si="176"/>
        <v>322.4397150351147</v>
      </c>
      <c r="U231" s="4">
        <f t="shared" si="163"/>
        <v>329.5731247167157</v>
      </c>
      <c r="V231" s="4">
        <f t="shared" si="141"/>
        <v>0.03961081925132667</v>
      </c>
      <c r="W231" s="4">
        <f>SUMPRODUCT($J$4:J231,$S$127:S$354)</f>
        <v>4.312589752462318</v>
      </c>
      <c r="X231" s="6">
        <f t="shared" si="134"/>
        <v>0.8720962906285821</v>
      </c>
      <c r="Y231" s="4">
        <f t="shared" si="164"/>
        <v>1977</v>
      </c>
      <c r="Z231" s="4">
        <f t="shared" si="177"/>
        <v>227</v>
      </c>
      <c r="AA231" s="3">
        <f t="shared" si="187"/>
        <v>95.6594</v>
      </c>
      <c r="AB231" s="6">
        <f t="shared" si="166"/>
        <v>201.9947745</v>
      </c>
      <c r="AC231" s="24">
        <f t="shared" si="142"/>
        <v>191.4930824488578</v>
      </c>
      <c r="AD231" s="4">
        <f t="shared" si="143"/>
        <v>7.872798104179598</v>
      </c>
      <c r="AE231" s="4">
        <f t="shared" si="144"/>
        <v>10.501692051142214</v>
      </c>
      <c r="AF231" s="6">
        <f t="shared" si="137"/>
        <v>1507.586376466875</v>
      </c>
      <c r="AG231" s="30">
        <f t="shared" si="182"/>
        <v>0.41703486576547566</v>
      </c>
      <c r="AH231" s="21">
        <v>1.46</v>
      </c>
      <c r="AI231" s="47">
        <f t="shared" si="167"/>
        <v>3.435</v>
      </c>
      <c r="AJ231" s="4">
        <f t="shared" si="145"/>
        <v>2.4443314891320638</v>
      </c>
      <c r="AK231" s="4">
        <f t="shared" si="146"/>
        <v>119.99096358880888</v>
      </c>
      <c r="AL231" s="4">
        <f t="shared" si="147"/>
        <v>0.9906685108679363</v>
      </c>
      <c r="AM231" s="5">
        <f t="shared" si="178"/>
        <v>293.2976907114245</v>
      </c>
      <c r="AN231" s="26">
        <f t="shared" si="168"/>
        <v>0.07602164365081009</v>
      </c>
      <c r="AO231" s="4">
        <f t="shared" si="148"/>
        <v>1.0763789661265248</v>
      </c>
      <c r="AP231" s="21">
        <f t="shared" si="135"/>
        <v>25.400000000000002</v>
      </c>
      <c r="AQ231" s="21">
        <f t="shared" si="189"/>
        <v>703.25</v>
      </c>
      <c r="AR231" s="21">
        <f t="shared" si="183"/>
        <v>116.867</v>
      </c>
      <c r="AS231" s="35">
        <f t="shared" si="149"/>
        <v>0.12701964241520547</v>
      </c>
      <c r="AT231" s="36">
        <f t="shared" si="150"/>
        <v>0.07360259873442944</v>
      </c>
      <c r="AU231" s="4">
        <f t="shared" si="151"/>
        <v>32.39969213539954</v>
      </c>
      <c r="AV231" s="4">
        <f t="shared" si="152"/>
        <v>0.3107870696867807</v>
      </c>
      <c r="AW231" s="4">
        <f t="shared" si="153"/>
        <v>0.020851743288273786</v>
      </c>
      <c r="AX231" s="21">
        <f t="shared" si="184"/>
        <v>47.422</v>
      </c>
      <c r="AY231" s="36">
        <f t="shared" si="154"/>
        <v>-0.2797758112094395</v>
      </c>
      <c r="AZ231" s="36">
        <f t="shared" si="155"/>
        <v>-0.6290982444447722</v>
      </c>
      <c r="BA231" s="36">
        <f t="shared" si="156"/>
        <v>-0.08083333333333334</v>
      </c>
      <c r="BB231" s="6">
        <f>BA231+AZ231+AY231+AW231+AV231+AN231+AG231+X231</f>
        <v>0.7070842240323773</v>
      </c>
      <c r="BC231" s="6">
        <f t="shared" si="179"/>
        <v>0.02193801288603814</v>
      </c>
      <c r="BD231" s="4">
        <f t="shared" si="170"/>
        <v>0.7805844993462493</v>
      </c>
      <c r="BE231" s="4">
        <f>SUMPRODUCT(BC$4:BC231,$BD$127:BD$354)</f>
        <v>0.3762252591877431</v>
      </c>
      <c r="BF231" s="23">
        <f t="shared" si="171"/>
        <v>0.3762252591877431</v>
      </c>
      <c r="BG231" s="48"/>
    </row>
    <row r="232" spans="5:59" ht="15">
      <c r="E232" s="1">
        <f t="shared" si="172"/>
        <v>228</v>
      </c>
      <c r="F232" s="1">
        <f t="shared" si="157"/>
        <v>1978</v>
      </c>
      <c r="G232" s="3">
        <f t="shared" si="185"/>
        <v>2.2802000000000002</v>
      </c>
      <c r="H232" s="3">
        <f t="shared" si="191"/>
        <v>0.6152000000000007</v>
      </c>
      <c r="I232" s="5">
        <f t="shared" si="158"/>
        <v>0.5149841025442992</v>
      </c>
      <c r="J232" s="5">
        <f t="shared" si="173"/>
        <v>0.8077327772171001</v>
      </c>
      <c r="K232" s="4">
        <f t="shared" si="159"/>
        <v>1.5726831202386018</v>
      </c>
      <c r="L232" s="4">
        <f t="shared" si="160"/>
        <v>0.0008957892460604697</v>
      </c>
      <c r="M232" s="4">
        <f t="shared" si="140"/>
        <v>2.887437570854433</v>
      </c>
      <c r="N232" s="4">
        <f t="shared" si="161"/>
        <v>0.0025865355246423665</v>
      </c>
      <c r="O232" s="4">
        <f>SUMPRODUCT($M$4:M232,L$126:$L$354)</f>
        <v>1.7941263211528857</v>
      </c>
      <c r="P232" s="4">
        <f t="shared" si="162"/>
        <v>1.0933112497015471</v>
      </c>
      <c r="Q232" s="4">
        <f t="shared" si="174"/>
        <v>27.35277920346266</v>
      </c>
      <c r="R232" s="4">
        <f t="shared" si="175"/>
        <v>38.6857458735456</v>
      </c>
      <c r="S232" s="4">
        <f t="shared" si="181"/>
        <v>0.050498433116897584</v>
      </c>
      <c r="T232" s="5">
        <f t="shared" si="176"/>
        <v>323.7979865528592</v>
      </c>
      <c r="U232" s="4">
        <f t="shared" si="163"/>
        <v>331.1160455144461</v>
      </c>
      <c r="V232" s="4">
        <f t="shared" si="141"/>
        <v>0.04078923962662367</v>
      </c>
      <c r="W232" s="4">
        <f>SUMPRODUCT($J$4:J232,$S$126:S$354)</f>
        <v>4.438222444631412</v>
      </c>
      <c r="X232" s="6">
        <f aca="true" t="shared" si="192" ref="X232:X295">5.35*LN(U232/$U$4)</f>
        <v>0.8970842627219057</v>
      </c>
      <c r="Y232" s="4">
        <f t="shared" si="164"/>
        <v>1978</v>
      </c>
      <c r="Z232" s="4">
        <f t="shared" si="177"/>
        <v>228</v>
      </c>
      <c r="AA232" s="3">
        <f t="shared" si="187"/>
        <v>96.4616</v>
      </c>
      <c r="AB232" s="6">
        <f t="shared" si="166"/>
        <v>202.7969745</v>
      </c>
      <c r="AC232" s="24">
        <f t="shared" si="142"/>
        <v>192.2161503742549</v>
      </c>
      <c r="AD232" s="4">
        <f t="shared" si="143"/>
        <v>7.897817459990851</v>
      </c>
      <c r="AE232" s="4">
        <f t="shared" si="144"/>
        <v>10.580824125745096</v>
      </c>
      <c r="AF232" s="6">
        <f t="shared" si="137"/>
        <v>1518.0880685180173</v>
      </c>
      <c r="AG232" s="30">
        <f t="shared" si="182"/>
        <v>0.4218948665271386</v>
      </c>
      <c r="AH232" s="21">
        <v>1.46</v>
      </c>
      <c r="AI232" s="47">
        <f t="shared" si="167"/>
        <v>3.435</v>
      </c>
      <c r="AJ232" s="4">
        <f t="shared" si="145"/>
        <v>2.45258768177556</v>
      </c>
      <c r="AK232" s="4">
        <f t="shared" si="146"/>
        <v>119.99096358880888</v>
      </c>
      <c r="AL232" s="4">
        <f t="shared" si="147"/>
        <v>0.9824123182244402</v>
      </c>
      <c r="AM232" s="5">
        <f t="shared" si="178"/>
        <v>294.2883592222924</v>
      </c>
      <c r="AN232" s="26">
        <f t="shared" si="168"/>
        <v>0.0794894834226342</v>
      </c>
      <c r="AO232" s="4">
        <f t="shared" si="148"/>
        <v>1.0725241343839254</v>
      </c>
      <c r="AP232" s="21">
        <f t="shared" si="135"/>
        <v>25.6</v>
      </c>
      <c r="AQ232" s="21">
        <f t="shared" si="189"/>
        <v>710.5</v>
      </c>
      <c r="AR232" s="21">
        <f t="shared" si="183"/>
        <v>118.78800000000001</v>
      </c>
      <c r="AS232" s="35">
        <f t="shared" si="149"/>
        <v>0.1266172591435354</v>
      </c>
      <c r="AT232" s="36">
        <f t="shared" si="150"/>
        <v>0.07001487448892302</v>
      </c>
      <c r="AU232" s="4">
        <f t="shared" si="151"/>
        <v>32.473715173610586</v>
      </c>
      <c r="AV232" s="4">
        <f t="shared" si="152"/>
        <v>0.3138960372916446</v>
      </c>
      <c r="AW232" s="4">
        <f t="shared" si="153"/>
        <v>0.02109474332635693</v>
      </c>
      <c r="AX232" s="21">
        <f t="shared" si="184"/>
        <v>48.308</v>
      </c>
      <c r="AY232" s="36">
        <f t="shared" si="154"/>
        <v>-0.2850029498525074</v>
      </c>
      <c r="AZ232" s="36">
        <f t="shared" si="155"/>
        <v>-0.6373058668464415</v>
      </c>
      <c r="BA232" s="36">
        <f t="shared" si="156"/>
        <v>-0.08166666666666667</v>
      </c>
      <c r="BB232" s="6">
        <f t="shared" si="190"/>
        <v>0.7294839099240644</v>
      </c>
      <c r="BC232" s="6">
        <f t="shared" si="179"/>
        <v>0.02239968589168717</v>
      </c>
      <c r="BD232" s="4">
        <f t="shared" si="170"/>
        <v>0.7800756112382499</v>
      </c>
      <c r="BE232" s="4">
        <f>SUMPRODUCT(BC$4:BC232,$BD$126:BD$354)</f>
        <v>0.38707641603477494</v>
      </c>
      <c r="BF232" s="23">
        <f t="shared" si="171"/>
        <v>0.38707641603477494</v>
      </c>
      <c r="BG232" s="48"/>
    </row>
    <row r="233" spans="5:59" ht="15">
      <c r="E233" s="1">
        <f t="shared" si="172"/>
        <v>229</v>
      </c>
      <c r="F233" s="1">
        <f t="shared" si="157"/>
        <v>1979</v>
      </c>
      <c r="G233" s="3">
        <f t="shared" si="185"/>
        <v>2.32805</v>
      </c>
      <c r="H233" s="3">
        <f t="shared" si="191"/>
        <v>0.6302000000000008</v>
      </c>
      <c r="I233" s="5">
        <f t="shared" si="158"/>
        <v>0.5285902116669131</v>
      </c>
      <c r="J233" s="5">
        <f t="shared" si="173"/>
        <v>0.8275334233262353</v>
      </c>
      <c r="K233" s="4">
        <f t="shared" si="159"/>
        <v>1.6021263650068525</v>
      </c>
      <c r="L233" s="4">
        <f t="shared" si="160"/>
        <v>0.0009060322434273191</v>
      </c>
      <c r="M233" s="4">
        <f t="shared" si="140"/>
        <v>2.969032808056063</v>
      </c>
      <c r="N233" s="4">
        <f t="shared" si="161"/>
        <v>0.0026900394558923473</v>
      </c>
      <c r="O233" s="4">
        <f>SUMPRODUCT($M$4:M233,L$125:$L$354)</f>
        <v>1.8468357886872062</v>
      </c>
      <c r="P233" s="4">
        <f t="shared" si="162"/>
        <v>1.1221970193688566</v>
      </c>
      <c r="Q233" s="4">
        <f t="shared" si="174"/>
        <v>28.149609759319677</v>
      </c>
      <c r="R233" s="4">
        <f t="shared" si="175"/>
        <v>39.91016365198071</v>
      </c>
      <c r="S233" s="4">
        <f t="shared" si="181"/>
        <v>0.05069007479787768</v>
      </c>
      <c r="T233" s="5">
        <f t="shared" si="176"/>
        <v>325.191275819349</v>
      </c>
      <c r="U233" s="4">
        <f t="shared" si="163"/>
        <v>332.6887286346847</v>
      </c>
      <c r="V233" s="4">
        <f t="shared" si="141"/>
        <v>0.04194773112615064</v>
      </c>
      <c r="W233" s="4">
        <f>SUMPRODUCT($J$4:J233,$S$125:S$354)</f>
        <v>4.565311683339448</v>
      </c>
      <c r="X233" s="6">
        <f t="shared" si="192"/>
        <v>0.9224346993670114</v>
      </c>
      <c r="Y233" s="4">
        <f t="shared" si="164"/>
        <v>1979</v>
      </c>
      <c r="Z233" s="4">
        <f t="shared" si="177"/>
        <v>229</v>
      </c>
      <c r="AA233" s="3">
        <f t="shared" si="187"/>
        <v>97.2638</v>
      </c>
      <c r="AB233" s="6">
        <f t="shared" si="166"/>
        <v>203.5991745</v>
      </c>
      <c r="AC233" s="24">
        <f t="shared" si="142"/>
        <v>192.9427440172465</v>
      </c>
      <c r="AD233" s="4">
        <f t="shared" si="143"/>
        <v>7.9229146471925365</v>
      </c>
      <c r="AE233" s="4">
        <f t="shared" si="144"/>
        <v>10.656430482753507</v>
      </c>
      <c r="AF233" s="6">
        <f t="shared" si="137"/>
        <v>1528.6688926437623</v>
      </c>
      <c r="AG233" s="30">
        <f t="shared" si="182"/>
        <v>0.4267745173644612</v>
      </c>
      <c r="AH233" s="21">
        <v>1.46</v>
      </c>
      <c r="AI233" s="47">
        <f t="shared" si="167"/>
        <v>3.435</v>
      </c>
      <c r="AJ233" s="4">
        <f t="shared" si="145"/>
        <v>2.460775067632307</v>
      </c>
      <c r="AK233" s="4">
        <f t="shared" si="146"/>
        <v>119.99096358880888</v>
      </c>
      <c r="AL233" s="4">
        <f t="shared" si="147"/>
        <v>0.9742249323676933</v>
      </c>
      <c r="AM233" s="5">
        <f t="shared" si="178"/>
        <v>295.2707715405168</v>
      </c>
      <c r="AN233" s="26">
        <f t="shared" si="168"/>
        <v>0.08292266294427605</v>
      </c>
      <c r="AO233" s="4">
        <f t="shared" si="148"/>
        <v>1.0686817705129106</v>
      </c>
      <c r="AP233" s="21">
        <f aca="true" t="shared" si="193" ref="AP233:AP253">0.2*(Z233-100)</f>
        <v>25.8</v>
      </c>
      <c r="AQ233" s="21">
        <f t="shared" si="189"/>
        <v>717.75</v>
      </c>
      <c r="AR233" s="21">
        <f t="shared" si="183"/>
        <v>120.709</v>
      </c>
      <c r="AS233" s="35">
        <f t="shared" si="149"/>
        <v>0.12621617731983864</v>
      </c>
      <c r="AT233" s="36">
        <f t="shared" si="150"/>
        <v>0.06642589877518802</v>
      </c>
      <c r="AU233" s="4">
        <f t="shared" si="151"/>
        <v>32.54775776601268</v>
      </c>
      <c r="AV233" s="4">
        <f t="shared" si="152"/>
        <v>0.3170058261725326</v>
      </c>
      <c r="AW233" s="4">
        <f t="shared" si="153"/>
        <v>0.021338725868223062</v>
      </c>
      <c r="AX233" s="21">
        <f t="shared" si="184"/>
        <v>49.194</v>
      </c>
      <c r="AY233" s="36">
        <f t="shared" si="154"/>
        <v>-0.29023008849557524</v>
      </c>
      <c r="AZ233" s="36">
        <f t="shared" si="155"/>
        <v>-0.6454333571334046</v>
      </c>
      <c r="BA233" s="36">
        <f t="shared" si="156"/>
        <v>-0.0825</v>
      </c>
      <c r="BB233" s="6">
        <f t="shared" si="190"/>
        <v>0.7523129860875244</v>
      </c>
      <c r="BC233" s="6">
        <f t="shared" si="179"/>
        <v>0.02282907616345997</v>
      </c>
      <c r="BD233" s="4">
        <f t="shared" si="170"/>
        <v>0.7795648713375399</v>
      </c>
      <c r="BE233" s="4">
        <f>SUMPRODUCT(BC$4:BC233,$BD$125:BD$354)</f>
        <v>0.39831010206401296</v>
      </c>
      <c r="BF233" s="23">
        <f t="shared" si="171"/>
        <v>0.39831010206401296</v>
      </c>
      <c r="BG233" s="48"/>
    </row>
    <row r="234" spans="5:59" ht="15">
      <c r="E234" s="1">
        <f t="shared" si="172"/>
        <v>230</v>
      </c>
      <c r="F234" s="1">
        <f t="shared" si="157"/>
        <v>1980</v>
      </c>
      <c r="G234" s="3">
        <f t="shared" si="185"/>
        <v>2.3750000000000004</v>
      </c>
      <c r="H234" s="3">
        <f t="shared" si="191"/>
        <v>0.6452000000000008</v>
      </c>
      <c r="I234" s="5">
        <f t="shared" si="158"/>
        <v>0.5421875279945362</v>
      </c>
      <c r="J234" s="5">
        <f t="shared" si="173"/>
        <v>0.8475973720593115</v>
      </c>
      <c r="K234" s="4">
        <f t="shared" si="159"/>
        <v>1.6304150999461535</v>
      </c>
      <c r="L234" s="4">
        <f t="shared" si="160"/>
        <v>0.0009164417692879534</v>
      </c>
      <c r="M234" s="4">
        <f t="shared" si="140"/>
        <v>3.0517599851503796</v>
      </c>
      <c r="N234" s="4">
        <f t="shared" si="161"/>
        <v>0.002796760320233392</v>
      </c>
      <c r="O234" s="4">
        <f>SUMPRODUCT($M$4:M234,L$124:$L$354)</f>
        <v>1.9006958632179791</v>
      </c>
      <c r="P234" s="4">
        <f t="shared" si="162"/>
        <v>1.1510641219324005</v>
      </c>
      <c r="Q234" s="4">
        <f t="shared" si="174"/>
        <v>28.955678521954066</v>
      </c>
      <c r="R234" s="4">
        <f t="shared" si="175"/>
        <v>41.15479999894384</v>
      </c>
      <c r="S234" s="4">
        <f t="shared" si="181"/>
        <v>0.05088387076229641</v>
      </c>
      <c r="T234" s="5">
        <f t="shared" si="176"/>
        <v>326.61162280883417</v>
      </c>
      <c r="U234" s="4">
        <f t="shared" si="163"/>
        <v>334.29085499969153</v>
      </c>
      <c r="V234" s="4">
        <f t="shared" si="141"/>
        <v>0.043129035138328074</v>
      </c>
      <c r="W234" s="4">
        <f>SUMPRODUCT($J$4:J234,$S$124:S$354)</f>
        <v>4.694399953744421</v>
      </c>
      <c r="X234" s="6">
        <f t="shared" si="192"/>
        <v>0.9481368130403328</v>
      </c>
      <c r="Y234" s="4">
        <f t="shared" si="164"/>
        <v>1980</v>
      </c>
      <c r="Z234" s="4">
        <f t="shared" si="177"/>
        <v>230</v>
      </c>
      <c r="AA234" s="3">
        <f t="shared" si="187"/>
        <v>98.066</v>
      </c>
      <c r="AB234" s="6">
        <f t="shared" si="166"/>
        <v>204.4013745</v>
      </c>
      <c r="AC234" s="24">
        <f t="shared" si="142"/>
        <v>193.67250822443268</v>
      </c>
      <c r="AD234" s="4">
        <f t="shared" si="143"/>
        <v>7.948083789686382</v>
      </c>
      <c r="AE234" s="4">
        <f t="shared" si="144"/>
        <v>10.728866275567327</v>
      </c>
      <c r="AF234" s="6">
        <f aca="true" t="shared" si="194" ref="AF234:AF252">AF233+AE233</f>
        <v>1539.3253231265157</v>
      </c>
      <c r="AG234" s="30">
        <f t="shared" si="182"/>
        <v>0.4316719970790258</v>
      </c>
      <c r="AH234" s="21">
        <v>1.46</v>
      </c>
      <c r="AI234" s="47">
        <f t="shared" si="167"/>
        <v>3.435</v>
      </c>
      <c r="AJ234" s="4">
        <f t="shared" si="145"/>
        <v>2.4688942201353754</v>
      </c>
      <c r="AK234" s="4">
        <f t="shared" si="146"/>
        <v>119.99096358880888</v>
      </c>
      <c r="AL234" s="4">
        <f t="shared" si="147"/>
        <v>0.9661057798646246</v>
      </c>
      <c r="AM234" s="5">
        <f t="shared" si="178"/>
        <v>296.2449964728845</v>
      </c>
      <c r="AN234" s="26">
        <f t="shared" si="168"/>
        <v>0.08632159491470844</v>
      </c>
      <c r="AO234" s="4">
        <f t="shared" si="148"/>
        <v>1.0648527603910534</v>
      </c>
      <c r="AP234" s="21">
        <f t="shared" si="193"/>
        <v>26</v>
      </c>
      <c r="AQ234" s="21">
        <f t="shared" si="189"/>
        <v>725</v>
      </c>
      <c r="AR234" s="21">
        <f t="shared" si="183"/>
        <v>122.63</v>
      </c>
      <c r="AS234" s="35">
        <f t="shared" si="149"/>
        <v>0.1258164894156782</v>
      </c>
      <c r="AT234" s="36">
        <f t="shared" si="150"/>
        <v>0.06283653644959965</v>
      </c>
      <c r="AU234" s="4">
        <f t="shared" si="151"/>
        <v>32.621806399225</v>
      </c>
      <c r="AV234" s="4">
        <f t="shared" si="152"/>
        <v>0.3201158687674501</v>
      </c>
      <c r="AW234" s="4">
        <f t="shared" si="153"/>
        <v>0.02158359985395129</v>
      </c>
      <c r="AX234" s="21">
        <f t="shared" si="184"/>
        <v>50.08</v>
      </c>
      <c r="AY234" s="36">
        <f t="shared" si="154"/>
        <v>-0.2954572271386431</v>
      </c>
      <c r="AZ234" s="36">
        <f t="shared" si="155"/>
        <v>-0.6534822648703397</v>
      </c>
      <c r="BA234" s="36">
        <f t="shared" si="156"/>
        <v>-0.08333333333333334</v>
      </c>
      <c r="BB234" s="6">
        <f t="shared" si="190"/>
        <v>0.7755570483131524</v>
      </c>
      <c r="BC234" s="6">
        <f t="shared" si="179"/>
        <v>0.023244062225628026</v>
      </c>
      <c r="BD234" s="4">
        <f t="shared" si="170"/>
        <v>0.7790522255296488</v>
      </c>
      <c r="BE234" s="4">
        <f>SUMPRODUCT(BC$4:BC234,$BD$124:BD$354)</f>
        <v>0.40992228020401367</v>
      </c>
      <c r="BF234" s="23">
        <f t="shared" si="171"/>
        <v>0.40992228020401367</v>
      </c>
      <c r="BG234" s="48"/>
    </row>
    <row r="235" spans="5:59" ht="15">
      <c r="E235" s="1">
        <f t="shared" si="172"/>
        <v>231</v>
      </c>
      <c r="F235" s="1">
        <f t="shared" si="157"/>
        <v>1981</v>
      </c>
      <c r="G235" s="3">
        <f t="shared" si="185"/>
        <v>2.42105</v>
      </c>
      <c r="H235" s="3">
        <f t="shared" si="191"/>
        <v>0.6602000000000008</v>
      </c>
      <c r="I235" s="5">
        <f t="shared" si="158"/>
        <v>0.5557494945682687</v>
      </c>
      <c r="J235" s="5">
        <f t="shared" si="173"/>
        <v>0.8671637107041859</v>
      </c>
      <c r="K235" s="4">
        <f t="shared" si="159"/>
        <v>1.6583367947275462</v>
      </c>
      <c r="L235" s="4">
        <f t="shared" si="160"/>
        <v>0.0009270227573367285</v>
      </c>
      <c r="M235" s="4">
        <f t="shared" si="140"/>
        <v>3.1355418278044485</v>
      </c>
      <c r="N235" s="4">
        <f t="shared" si="161"/>
        <v>0.0029067186309559255</v>
      </c>
      <c r="O235" s="4">
        <f>SUMPRODUCT($M$4:M235,L$123:$L$354)</f>
        <v>1.9556856508360139</v>
      </c>
      <c r="P235" s="4">
        <f t="shared" si="162"/>
        <v>1.1798561769684346</v>
      </c>
      <c r="Q235" s="4">
        <f t="shared" si="174"/>
        <v>29.77442622595909</v>
      </c>
      <c r="R235" s="4">
        <f t="shared" si="175"/>
        <v>42.42525322960043</v>
      </c>
      <c r="S235" s="4">
        <f t="shared" si="181"/>
        <v>0.05107986420750524</v>
      </c>
      <c r="T235" s="5">
        <f t="shared" si="176"/>
        <v>328.06476688065777</v>
      </c>
      <c r="U235" s="4">
        <f t="shared" si="163"/>
        <v>335.9212700996377</v>
      </c>
      <c r="V235" s="4">
        <f t="shared" si="141"/>
        <v>0.04429460458844617</v>
      </c>
      <c r="W235" s="4">
        <f>SUMPRODUCT($J$4:J235,$S$123:S$354)</f>
        <v>4.824847137045463</v>
      </c>
      <c r="X235" s="6">
        <f t="shared" si="192"/>
        <v>0.974166595746446</v>
      </c>
      <c r="Y235" s="4">
        <f t="shared" si="164"/>
        <v>1981</v>
      </c>
      <c r="Z235" s="4">
        <f t="shared" si="177"/>
        <v>231</v>
      </c>
      <c r="AA235" s="3">
        <f t="shared" si="187"/>
        <v>98.8682</v>
      </c>
      <c r="AB235" s="6">
        <f t="shared" si="166"/>
        <v>205.2035745</v>
      </c>
      <c r="AC235" s="24">
        <f t="shared" si="142"/>
        <v>194.4051239576419</v>
      </c>
      <c r="AD235" s="4">
        <f t="shared" si="143"/>
        <v>7.973319621656771</v>
      </c>
      <c r="AE235" s="4">
        <f t="shared" si="144"/>
        <v>10.798450542358097</v>
      </c>
      <c r="AF235" s="6">
        <f t="shared" si="194"/>
        <v>1550.054189402083</v>
      </c>
      <c r="AG235" s="30">
        <f t="shared" si="182"/>
        <v>0.4365856712966983</v>
      </c>
      <c r="AH235" s="21">
        <v>1.46</v>
      </c>
      <c r="AI235" s="47">
        <f t="shared" si="167"/>
        <v>3.435</v>
      </c>
      <c r="AJ235" s="4">
        <f t="shared" si="145"/>
        <v>2.4769457079388677</v>
      </c>
      <c r="AK235" s="4">
        <f t="shared" si="146"/>
        <v>119.99096358880888</v>
      </c>
      <c r="AL235" s="4">
        <f t="shared" si="147"/>
        <v>0.9580542920611324</v>
      </c>
      <c r="AM235" s="5">
        <f t="shared" si="178"/>
        <v>297.21110225274913</v>
      </c>
      <c r="AN235" s="26">
        <f t="shared" si="168"/>
        <v>0.08968668561037489</v>
      </c>
      <c r="AO235" s="4">
        <f t="shared" si="148"/>
        <v>1.0610378747332345</v>
      </c>
      <c r="AP235" s="21">
        <f t="shared" si="193"/>
        <v>26.200000000000003</v>
      </c>
      <c r="AQ235" s="21">
        <f t="shared" si="189"/>
        <v>732.25</v>
      </c>
      <c r="AR235" s="21">
        <f t="shared" si="183"/>
        <v>124.551</v>
      </c>
      <c r="AS235" s="35">
        <f t="shared" si="149"/>
        <v>0.1254182758814591</v>
      </c>
      <c r="AT235" s="36">
        <f t="shared" si="150"/>
        <v>0.059247556198518556</v>
      </c>
      <c r="AU235" s="4">
        <f t="shared" si="151"/>
        <v>32.695849062523145</v>
      </c>
      <c r="AV235" s="4">
        <f t="shared" si="152"/>
        <v>0.3232256606259721</v>
      </c>
      <c r="AW235" s="4">
        <f t="shared" si="153"/>
        <v>0.021829283564834916</v>
      </c>
      <c r="AX235" s="21">
        <f t="shared" si="184"/>
        <v>50.966</v>
      </c>
      <c r="AY235" s="36">
        <f t="shared" si="154"/>
        <v>-0.3006843657817109</v>
      </c>
      <c r="AZ235" s="36">
        <f t="shared" si="155"/>
        <v>-0.6614540951046625</v>
      </c>
      <c r="BA235" s="36">
        <f t="shared" si="156"/>
        <v>-0.08416666666666667</v>
      </c>
      <c r="BB235" s="6">
        <f t="shared" si="190"/>
        <v>0.799188769291286</v>
      </c>
      <c r="BC235" s="6">
        <f t="shared" si="179"/>
        <v>0.023631720978133597</v>
      </c>
      <c r="BD235" s="4">
        <f t="shared" si="170"/>
        <v>0.7785376159884678</v>
      </c>
      <c r="BE235" s="4">
        <f>SUMPRODUCT(BC$4:BC235,$BD$123:BD$354)</f>
        <v>0.421908504932681</v>
      </c>
      <c r="BF235" s="23">
        <f t="shared" si="171"/>
        <v>0.421908504932681</v>
      </c>
      <c r="BG235" s="48"/>
    </row>
    <row r="236" spans="5:59" ht="15">
      <c r="E236" s="1">
        <f t="shared" si="172"/>
        <v>232</v>
      </c>
      <c r="F236" s="1">
        <f t="shared" si="157"/>
        <v>1982</v>
      </c>
      <c r="G236" s="3">
        <f t="shared" si="185"/>
        <v>2.4662</v>
      </c>
      <c r="H236" s="3">
        <f t="shared" si="191"/>
        <v>0.6752000000000008</v>
      </c>
      <c r="I236" s="5">
        <f t="shared" si="158"/>
        <v>0.5692706780613856</v>
      </c>
      <c r="J236" s="5">
        <f t="shared" si="173"/>
        <v>0.8868625523591575</v>
      </c>
      <c r="K236" s="4">
        <f t="shared" si="159"/>
        <v>1.6852667695794579</v>
      </c>
      <c r="L236" s="4">
        <f t="shared" si="160"/>
        <v>0.000937780357999057</v>
      </c>
      <c r="M236" s="4">
        <f t="shared" si="140"/>
        <v>3.220342362714611</v>
      </c>
      <c r="N236" s="4">
        <f t="shared" si="161"/>
        <v>0.003019973813786037</v>
      </c>
      <c r="O236" s="4">
        <f>SUMPRODUCT($M$4:M236,L$122:$L$354)</f>
        <v>2.011780713190289</v>
      </c>
      <c r="P236" s="4">
        <f t="shared" si="162"/>
        <v>1.2085616495243219</v>
      </c>
      <c r="Q236" s="4">
        <f t="shared" si="174"/>
        <v>30.601792891315977</v>
      </c>
      <c r="R236" s="4">
        <f t="shared" si="175"/>
        <v>43.71550829216864</v>
      </c>
      <c r="S236" s="4">
        <f t="shared" si="181"/>
        <v>0.05127809981212249</v>
      </c>
      <c r="T236" s="5">
        <f t="shared" si="176"/>
        <v>329.5446321699913</v>
      </c>
      <c r="U236" s="4">
        <f t="shared" si="163"/>
        <v>337.57960689436527</v>
      </c>
      <c r="V236" s="4">
        <f t="shared" si="141"/>
        <v>0.04547662647950658</v>
      </c>
      <c r="W236" s="4">
        <f>SUMPRODUCT($J$4:J236,$S$122:S$354)</f>
        <v>4.9570419297845625</v>
      </c>
      <c r="X236" s="6">
        <f t="shared" si="192"/>
        <v>1.0005128711105207</v>
      </c>
      <c r="Y236" s="4">
        <f t="shared" si="164"/>
        <v>1982</v>
      </c>
      <c r="Z236" s="4">
        <f t="shared" si="177"/>
        <v>232</v>
      </c>
      <c r="AA236" s="3">
        <f t="shared" si="187"/>
        <v>99.6704</v>
      </c>
      <c r="AB236" s="6">
        <f t="shared" si="166"/>
        <v>206.0057745</v>
      </c>
      <c r="AC236" s="24">
        <f t="shared" si="142"/>
        <v>195.1403045387423</v>
      </c>
      <c r="AD236" s="4">
        <f t="shared" si="143"/>
        <v>7.998617423673008</v>
      </c>
      <c r="AE236" s="4">
        <f>AB236-AC236</f>
        <v>10.865469961257702</v>
      </c>
      <c r="AF236" s="6">
        <f t="shared" si="194"/>
        <v>1560.852639944441</v>
      </c>
      <c r="AG236" s="30">
        <f t="shared" si="182"/>
        <v>0.44151407299322554</v>
      </c>
      <c r="AH236" s="21">
        <v>1.46</v>
      </c>
      <c r="AI236" s="47">
        <f t="shared" si="167"/>
        <v>3.435</v>
      </c>
      <c r="AJ236" s="4">
        <f t="shared" si="145"/>
        <v>2.484930094957746</v>
      </c>
      <c r="AK236" s="4">
        <f t="shared" si="146"/>
        <v>119.99096358880888</v>
      </c>
      <c r="AL236" s="4">
        <f t="shared" si="147"/>
        <v>0.9500699050422541</v>
      </c>
      <c r="AM236" s="5">
        <f t="shared" si="178"/>
        <v>298.1691565448103</v>
      </c>
      <c r="AN236" s="26">
        <f t="shared" si="168"/>
        <v>0.09301833502122761</v>
      </c>
      <c r="AO236" s="4">
        <f t="shared" si="148"/>
        <v>1.057237781955266</v>
      </c>
      <c r="AP236" s="21">
        <f t="shared" si="193"/>
        <v>26.400000000000002</v>
      </c>
      <c r="AQ236" s="21">
        <f t="shared" si="189"/>
        <v>739.5</v>
      </c>
      <c r="AR236" s="21">
        <f t="shared" si="183"/>
        <v>126.47200000000001</v>
      </c>
      <c r="AS236" s="35">
        <f t="shared" si="149"/>
        <v>0.1250216064891868</v>
      </c>
      <c r="AT236" s="36">
        <f t="shared" si="150"/>
        <v>0.05565964086506198</v>
      </c>
      <c r="AU236" s="4">
        <f t="shared" si="151"/>
        <v>32.7698750864834</v>
      </c>
      <c r="AV236" s="4">
        <f t="shared" si="152"/>
        <v>0.3263347536323029</v>
      </c>
      <c r="AW236" s="4">
        <f t="shared" si="153"/>
        <v>0.022075703649661278</v>
      </c>
      <c r="AX236" s="21">
        <f t="shared" si="184"/>
        <v>51.852000000000004</v>
      </c>
      <c r="AY236" s="36">
        <f t="shared" si="154"/>
        <v>-0.3059115044247788</v>
      </c>
      <c r="AZ236" s="36">
        <f t="shared" si="155"/>
        <v>-0.6693503100556054</v>
      </c>
      <c r="BA236" s="36">
        <f t="shared" si="156"/>
        <v>-0.085</v>
      </c>
      <c r="BB236" s="6">
        <f t="shared" si="190"/>
        <v>0.8231939219265538</v>
      </c>
      <c r="BC236" s="6">
        <f t="shared" si="179"/>
        <v>0.024005152635267812</v>
      </c>
      <c r="BD236" s="4">
        <f t="shared" si="170"/>
        <v>0.7780209809097464</v>
      </c>
      <c r="BE236" s="4">
        <f>SUMPRODUCT(BC$4:BC236,$BD$122:BD$354)</f>
        <v>0.43426332496025627</v>
      </c>
      <c r="BF236" s="23">
        <f t="shared" si="171"/>
        <v>0.43426332496025627</v>
      </c>
      <c r="BG236" s="48"/>
    </row>
    <row r="237" spans="5:59" ht="15">
      <c r="E237" s="1">
        <f t="shared" si="172"/>
        <v>233</v>
      </c>
      <c r="F237" s="1">
        <f t="shared" si="157"/>
        <v>1983</v>
      </c>
      <c r="G237" s="3">
        <f t="shared" si="185"/>
        <v>2.51045</v>
      </c>
      <c r="H237" s="3">
        <f t="shared" si="191"/>
        <v>0.6902000000000008</v>
      </c>
      <c r="I237" s="5">
        <f t="shared" si="158"/>
        <v>0.5827314297114992</v>
      </c>
      <c r="J237" s="5">
        <f t="shared" si="173"/>
        <v>0.9061187170631974</v>
      </c>
      <c r="K237" s="4">
        <f t="shared" si="159"/>
        <v>1.7117998532253043</v>
      </c>
      <c r="L237" s="4">
        <f t="shared" si="160"/>
        <v>0.0009487199491793785</v>
      </c>
      <c r="M237" s="4">
        <f t="shared" si="140"/>
        <v>3.3060942734615995</v>
      </c>
      <c r="N237" s="4">
        <f t="shared" si="161"/>
        <v>0.003136557591100723</v>
      </c>
      <c r="O237" s="4">
        <f>SUMPRODUCT($M$4:M237,L$121:$L$354)</f>
        <v>2.0689554481840866</v>
      </c>
      <c r="P237" s="4">
        <f t="shared" si="162"/>
        <v>1.2371388252775128</v>
      </c>
      <c r="Q237" s="4">
        <f t="shared" si="174"/>
        <v>31.440243841948497</v>
      </c>
      <c r="R237" s="4">
        <f t="shared" si="175"/>
        <v>45.02968264531687</v>
      </c>
      <c r="S237" s="4">
        <f t="shared" si="181"/>
        <v>0.05147862380548178</v>
      </c>
      <c r="T237" s="5">
        <f t="shared" si="176"/>
        <v>331.0554380873522</v>
      </c>
      <c r="U237" s="4">
        <f t="shared" si="163"/>
        <v>339.26487366394474</v>
      </c>
      <c r="V237" s="4">
        <f t="shared" si="141"/>
        <v>0.04664574455880212</v>
      </c>
      <c r="W237" s="4">
        <f>SUMPRODUCT($J$4:J237,$S$121:S$354)</f>
        <v>5.090482983507141</v>
      </c>
      <c r="X237" s="6">
        <f t="shared" si="192"/>
        <v>1.0271547249140278</v>
      </c>
      <c r="Y237" s="4">
        <f t="shared" si="164"/>
        <v>1983</v>
      </c>
      <c r="Z237" s="4">
        <f t="shared" si="177"/>
        <v>233</v>
      </c>
      <c r="AA237" s="3">
        <f t="shared" si="187"/>
        <v>100.4726</v>
      </c>
      <c r="AB237" s="6">
        <f t="shared" si="166"/>
        <v>206.8079745</v>
      </c>
      <c r="AC237" s="24">
        <f t="shared" si="142"/>
        <v>195.87779229218415</v>
      </c>
      <c r="AD237" s="4">
        <f t="shared" si="143"/>
        <v>8.023972965558142</v>
      </c>
      <c r="AE237" s="4">
        <f t="shared" si="144"/>
        <v>10.930182207815847</v>
      </c>
      <c r="AF237" s="6">
        <f t="shared" si="194"/>
        <v>1571.7181099056988</v>
      </c>
      <c r="AG237" s="30">
        <f t="shared" si="182"/>
        <v>0.4464558850807766</v>
      </c>
      <c r="AH237" s="21">
        <v>1.46</v>
      </c>
      <c r="AI237" s="47">
        <f t="shared" si="167"/>
        <v>3.435</v>
      </c>
      <c r="AJ237" s="4">
        <f t="shared" si="145"/>
        <v>2.4928479404073247</v>
      </c>
      <c r="AK237" s="4">
        <f t="shared" si="146"/>
        <v>119.99096358880888</v>
      </c>
      <c r="AL237" s="4">
        <f t="shared" si="147"/>
        <v>0.9421520595926753</v>
      </c>
      <c r="AM237" s="5">
        <f t="shared" si="178"/>
        <v>299.11922644985253</v>
      </c>
      <c r="AN237" s="26">
        <f t="shared" si="168"/>
        <v>0.09631693698297454</v>
      </c>
      <c r="AO237" s="4">
        <f t="shared" si="148"/>
        <v>1.05345305961315</v>
      </c>
      <c r="AP237" s="21">
        <f t="shared" si="193"/>
        <v>26.6</v>
      </c>
      <c r="AQ237" s="21">
        <f t="shared" si="189"/>
        <v>746.75</v>
      </c>
      <c r="AR237" s="21">
        <f t="shared" si="183"/>
        <v>128.393</v>
      </c>
      <c r="AS237" s="35">
        <f t="shared" si="149"/>
        <v>0.12462654152654422</v>
      </c>
      <c r="AT237" s="36">
        <f t="shared" si="150"/>
        <v>0.052073396661125905</v>
      </c>
      <c r="AU237" s="4">
        <f t="shared" si="151"/>
        <v>32.84387499904491</v>
      </c>
      <c r="AV237" s="4">
        <f t="shared" si="152"/>
        <v>0.3294427499598861</v>
      </c>
      <c r="AW237" s="4">
        <f t="shared" si="153"/>
        <v>0.02232279425403883</v>
      </c>
      <c r="AX237" s="21">
        <f aca="true" t="shared" si="195" ref="AX237:AX253">0.886*(Z237-$Z$204)+$AX$204</f>
        <v>52.738</v>
      </c>
      <c r="AY237" s="36">
        <f t="shared" si="154"/>
        <v>-0.31113864306784667</v>
      </c>
      <c r="AZ237" s="36">
        <f t="shared" si="155"/>
        <v>-0.6771723307239406</v>
      </c>
      <c r="BA237" s="36">
        <f t="shared" si="156"/>
        <v>-0.08583333333333333</v>
      </c>
      <c r="BB237" s="6">
        <f t="shared" si="190"/>
        <v>0.8475487840665835</v>
      </c>
      <c r="BC237" s="6">
        <f t="shared" si="179"/>
        <v>0.024354862140029687</v>
      </c>
      <c r="BD237" s="4">
        <f t="shared" si="170"/>
        <v>0.7775022542254239</v>
      </c>
      <c r="BE237" s="4">
        <f>SUMPRODUCT(BC$4:BC237,$BD$121:BD$354)</f>
        <v>0.4469809821231408</v>
      </c>
      <c r="BF237" s="23">
        <f t="shared" si="171"/>
        <v>0.4469809821231408</v>
      </c>
      <c r="BG237" s="48"/>
    </row>
    <row r="238" spans="5:59" ht="15">
      <c r="E238" s="1">
        <f t="shared" si="172"/>
        <v>234</v>
      </c>
      <c r="F238" s="1">
        <f t="shared" si="157"/>
        <v>1984</v>
      </c>
      <c r="G238" s="3">
        <f t="shared" si="185"/>
        <v>2.5538</v>
      </c>
      <c r="H238" s="3">
        <f t="shared" si="191"/>
        <v>0.7052000000000008</v>
      </c>
      <c r="I238" s="5">
        <f t="shared" si="158"/>
        <v>0.5961275618420598</v>
      </c>
      <c r="J238" s="5">
        <f t="shared" si="173"/>
        <v>0.9254154239105384</v>
      </c>
      <c r="K238" s="4">
        <f t="shared" si="159"/>
        <v>1.7374570142474028</v>
      </c>
      <c r="L238" s="4">
        <f t="shared" si="160"/>
        <v>0.0009598471475565364</v>
      </c>
      <c r="M238" s="4">
        <f t="shared" si="140"/>
        <v>3.39276129877639</v>
      </c>
      <c r="N238" s="4">
        <f t="shared" si="161"/>
        <v>0.0032565322549707276</v>
      </c>
      <c r="O238" s="4">
        <f>SUMPRODUCT($M$4:M238,L$120:$L$354)</f>
        <v>2.127182484985697</v>
      </c>
      <c r="P238" s="4">
        <f t="shared" si="162"/>
        <v>1.2655788137906931</v>
      </c>
      <c r="Q238" s="4">
        <f t="shared" si="174"/>
        <v>32.28659925450938</v>
      </c>
      <c r="R238" s="4">
        <f t="shared" si="175"/>
        <v>46.36306241920884</v>
      </c>
      <c r="S238" s="4">
        <f t="shared" si="181"/>
        <v>0.051681484040739495</v>
      </c>
      <c r="T238" s="5">
        <f t="shared" si="176"/>
        <v>332.5924097765406</v>
      </c>
      <c r="U238" s="4">
        <f t="shared" si="163"/>
        <v>340.97667351717007</v>
      </c>
      <c r="V238" s="4">
        <f t="shared" si="141"/>
        <v>0.04782684246188667</v>
      </c>
      <c r="W238" s="4">
        <f>SUMPRODUCT($J$4:J238,$S$120:S$354)</f>
        <v>5.225454460570073</v>
      </c>
      <c r="X238" s="6">
        <f t="shared" si="192"/>
        <v>1.054080891315545</v>
      </c>
      <c r="Y238" s="4">
        <f t="shared" si="164"/>
        <v>1984</v>
      </c>
      <c r="Z238" s="4">
        <f t="shared" si="177"/>
        <v>234</v>
      </c>
      <c r="AA238" s="3">
        <f t="shared" si="187"/>
        <v>101.2748</v>
      </c>
      <c r="AB238" s="6">
        <f t="shared" si="166"/>
        <v>207.6101745</v>
      </c>
      <c r="AC238" s="24">
        <f t="shared" si="142"/>
        <v>196.61735554262413</v>
      </c>
      <c r="AD238" s="4">
        <f t="shared" si="143"/>
        <v>8.049382455306276</v>
      </c>
      <c r="AE238" s="4">
        <f t="shared" si="144"/>
        <v>10.992818957375874</v>
      </c>
      <c r="AF238" s="6">
        <f t="shared" si="194"/>
        <v>1582.6482921135148</v>
      </c>
      <c r="AG238" s="30">
        <f t="shared" si="182"/>
        <v>0.4514099248356888</v>
      </c>
      <c r="AH238" s="21">
        <v>1.46</v>
      </c>
      <c r="AI238" s="47">
        <f t="shared" si="167"/>
        <v>3.435</v>
      </c>
      <c r="AJ238" s="4">
        <f t="shared" si="145"/>
        <v>2.5006997988424424</v>
      </c>
      <c r="AK238" s="4">
        <f t="shared" si="146"/>
        <v>119.99096358880888</v>
      </c>
      <c r="AL238" s="4">
        <f t="shared" si="147"/>
        <v>0.9343002011575576</v>
      </c>
      <c r="AM238" s="5">
        <f t="shared" si="178"/>
        <v>300.0613785094452</v>
      </c>
      <c r="AN238" s="26">
        <f t="shared" si="168"/>
        <v>0.09958287930567195</v>
      </c>
      <c r="AO238" s="4">
        <f t="shared" si="148"/>
        <v>1.0496842045745438</v>
      </c>
      <c r="AP238" s="21">
        <f t="shared" si="193"/>
        <v>26.8</v>
      </c>
      <c r="AQ238" s="21">
        <f t="shared" si="189"/>
        <v>754</v>
      </c>
      <c r="AR238" s="21">
        <f t="shared" si="183"/>
        <v>130.31400000000002</v>
      </c>
      <c r="AS238" s="35">
        <f t="shared" si="149"/>
        <v>0.12423313285863126</v>
      </c>
      <c r="AT238" s="36">
        <f t="shared" si="150"/>
        <v>0.04848936138475663</v>
      </c>
      <c r="AU238" s="4">
        <f t="shared" si="151"/>
        <v>32.917840397113174</v>
      </c>
      <c r="AV238" s="4">
        <f t="shared" si="152"/>
        <v>0.3325492966787533</v>
      </c>
      <c r="AW238" s="4">
        <f t="shared" si="153"/>
        <v>0.022570496241784442</v>
      </c>
      <c r="AX238" s="21">
        <f t="shared" si="195"/>
        <v>53.623999999999995</v>
      </c>
      <c r="AY238" s="36">
        <f t="shared" si="154"/>
        <v>-0.31636578171091445</v>
      </c>
      <c r="AZ238" s="36">
        <f t="shared" si="155"/>
        <v>-0.6849215384267775</v>
      </c>
      <c r="BA238" s="36">
        <f t="shared" si="156"/>
        <v>-0.08666666666666667</v>
      </c>
      <c r="BB238" s="6">
        <f t="shared" si="190"/>
        <v>0.872239501573085</v>
      </c>
      <c r="BC238" s="6">
        <f t="shared" si="179"/>
        <v>0.024690717506501536</v>
      </c>
      <c r="BD238" s="4">
        <f t="shared" si="170"/>
        <v>0.7769813652974192</v>
      </c>
      <c r="BE238" s="4">
        <f>SUMPRODUCT(BC$4:BC238,$BD$120:BD$354)</f>
        <v>0.4600549728071792</v>
      </c>
      <c r="BF238" s="23">
        <f t="shared" si="171"/>
        <v>0.4600549728071792</v>
      </c>
      <c r="BG238" s="48"/>
    </row>
    <row r="239" spans="5:59" ht="15">
      <c r="E239" s="1">
        <f t="shared" si="172"/>
        <v>235</v>
      </c>
      <c r="F239" s="1">
        <f t="shared" si="157"/>
        <v>1985</v>
      </c>
      <c r="G239" s="3">
        <f t="shared" si="185"/>
        <v>2.59625</v>
      </c>
      <c r="H239" s="3">
        <f t="shared" si="191"/>
        <v>0.7202000000000008</v>
      </c>
      <c r="I239" s="5">
        <f t="shared" si="158"/>
        <v>0.6094438341975346</v>
      </c>
      <c r="J239" s="5">
        <f t="shared" si="173"/>
        <v>0.9443059554614361</v>
      </c>
      <c r="K239" s="4">
        <f t="shared" si="159"/>
        <v>1.7627002103410296</v>
      </c>
      <c r="L239" s="4">
        <f t="shared" si="160"/>
        <v>0.0009711678204545809</v>
      </c>
      <c r="M239" s="4">
        <f t="shared" si="140"/>
        <v>3.4802835354823656</v>
      </c>
      <c r="N239" s="4">
        <f t="shared" si="161"/>
        <v>0.003379939375718372</v>
      </c>
      <c r="O239" s="4">
        <f>SUMPRODUCT($M$4:M239,L$119:$L$354)</f>
        <v>2.1864342754809996</v>
      </c>
      <c r="P239" s="4">
        <f t="shared" si="162"/>
        <v>1.293849260001366</v>
      </c>
      <c r="Q239" s="4">
        <f t="shared" si="174"/>
        <v>33.14266144052179</v>
      </c>
      <c r="R239" s="4">
        <f t="shared" si="175"/>
        <v>47.718746405637376</v>
      </c>
      <c r="S239" s="4">
        <f t="shared" si="181"/>
        <v>0.05188673007184099</v>
      </c>
      <c r="T239" s="5">
        <f t="shared" si="176"/>
        <v>334.15871857493687</v>
      </c>
      <c r="U239" s="4">
        <f t="shared" si="163"/>
        <v>342.7141305314175</v>
      </c>
      <c r="V239" s="4">
        <f t="shared" si="141"/>
        <v>0.04899694821625944</v>
      </c>
      <c r="W239" s="4">
        <f>SUMPRODUCT($J$4:J239,$S$119:S$354)</f>
        <v>5.361552511039176</v>
      </c>
      <c r="X239" s="6">
        <f t="shared" si="192"/>
        <v>1.0812727592816873</v>
      </c>
      <c r="Y239" s="4">
        <f t="shared" si="164"/>
        <v>1985</v>
      </c>
      <c r="Z239" s="4">
        <f t="shared" si="177"/>
        <v>235</v>
      </c>
      <c r="AA239" s="3">
        <f t="shared" si="187"/>
        <v>102.077</v>
      </c>
      <c r="AB239" s="6">
        <f t="shared" si="166"/>
        <v>208.4123745</v>
      </c>
      <c r="AC239" s="24">
        <f t="shared" si="142"/>
        <v>197.35878592956428</v>
      </c>
      <c r="AD239" s="4">
        <f t="shared" si="143"/>
        <v>8.074842493405123</v>
      </c>
      <c r="AE239" s="4">
        <f t="shared" si="144"/>
        <v>11.053588570435721</v>
      </c>
      <c r="AF239" s="6">
        <f t="shared" si="194"/>
        <v>1593.6411110708907</v>
      </c>
      <c r="AG239" s="30">
        <f t="shared" si="182"/>
        <v>0.4563751299709472</v>
      </c>
      <c r="AH239" s="21">
        <v>1.46</v>
      </c>
      <c r="AI239" s="47">
        <f t="shared" si="167"/>
        <v>3.435</v>
      </c>
      <c r="AJ239" s="4">
        <f t="shared" si="145"/>
        <v>2.5084862201962976</v>
      </c>
      <c r="AK239" s="4">
        <f t="shared" si="146"/>
        <v>119.99096358880888</v>
      </c>
      <c r="AL239" s="4">
        <f t="shared" si="147"/>
        <v>0.9265137798037024</v>
      </c>
      <c r="AM239" s="5">
        <f t="shared" si="178"/>
        <v>300.99567871060276</v>
      </c>
      <c r="AN239" s="26">
        <f t="shared" si="168"/>
        <v>0.10281654389877772</v>
      </c>
      <c r="AO239" s="4">
        <f t="shared" si="148"/>
        <v>1.0459316420623035</v>
      </c>
      <c r="AP239" s="21">
        <f t="shared" si="193"/>
        <v>27</v>
      </c>
      <c r="AQ239" s="21">
        <f t="shared" si="189"/>
        <v>761.25</v>
      </c>
      <c r="AR239" s="21">
        <f t="shared" si="183"/>
        <v>132.235</v>
      </c>
      <c r="AS239" s="35">
        <f t="shared" si="149"/>
        <v>0.12384142487196735</v>
      </c>
      <c r="AT239" s="36">
        <f t="shared" si="150"/>
        <v>0.044908011750332016</v>
      </c>
      <c r="AU239" s="4">
        <f t="shared" si="151"/>
        <v>32.99176383202606</v>
      </c>
      <c r="AV239" s="4">
        <f t="shared" si="152"/>
        <v>0.3356540809450945</v>
      </c>
      <c r="AW239" s="4">
        <f t="shared" si="153"/>
        <v>0.022818756498547362</v>
      </c>
      <c r="AX239" s="21">
        <f t="shared" si="195"/>
        <v>54.510000000000005</v>
      </c>
      <c r="AY239" s="36">
        <f t="shared" si="154"/>
        <v>-0.32159292035398235</v>
      </c>
      <c r="AZ239" s="36">
        <f t="shared" si="155"/>
        <v>-0.6925992762615827</v>
      </c>
      <c r="BA239" s="36">
        <f t="shared" si="156"/>
        <v>-0.08750000000000001</v>
      </c>
      <c r="BB239" s="6">
        <f t="shared" si="190"/>
        <v>0.897245073979489</v>
      </c>
      <c r="BC239" s="6">
        <f t="shared" si="179"/>
        <v>0.025005572406403997</v>
      </c>
      <c r="BD239" s="4">
        <f t="shared" si="170"/>
        <v>0.7764582385894022</v>
      </c>
      <c r="BE239" s="4">
        <f>SUMPRODUCT(BC$4:BC239,$BD$119:BD$354)</f>
        <v>0.4734785734496396</v>
      </c>
      <c r="BF239" s="23">
        <f t="shared" si="171"/>
        <v>0.4734785734496396</v>
      </c>
      <c r="BG239" s="48"/>
    </row>
    <row r="240" spans="5:59" ht="15">
      <c r="E240" s="1">
        <f t="shared" si="172"/>
        <v>236</v>
      </c>
      <c r="F240" s="1">
        <f t="shared" si="157"/>
        <v>1986</v>
      </c>
      <c r="G240" s="3">
        <f t="shared" si="185"/>
        <v>2.6378000000000004</v>
      </c>
      <c r="H240" s="3">
        <f>H239-0.019133</f>
        <v>0.7010670000000009</v>
      </c>
      <c r="I240" s="5">
        <f t="shared" si="158"/>
        <v>0.622676702380749</v>
      </c>
      <c r="J240" s="5">
        <f t="shared" si="173"/>
        <v>0.9631710717415393</v>
      </c>
      <c r="K240" s="4">
        <f t="shared" si="159"/>
        <v>1.753019225877713</v>
      </c>
      <c r="L240" s="4">
        <f t="shared" si="160"/>
        <v>0.000982688098318471</v>
      </c>
      <c r="M240" s="4">
        <f t="shared" si="140"/>
        <v>3.5686251054535956</v>
      </c>
      <c r="N240" s="4">
        <f t="shared" si="161"/>
        <v>0.003506845418489747</v>
      </c>
      <c r="O240" s="4">
        <f>SUMPRODUCT($M$4:M240,L$118:$L$354)</f>
        <v>2.2466824662992653</v>
      </c>
      <c r="P240" s="4">
        <f t="shared" si="162"/>
        <v>1.3219426391543303</v>
      </c>
      <c r="Q240" s="4">
        <f t="shared" si="174"/>
        <v>34.00586896504406</v>
      </c>
      <c r="R240" s="4">
        <f t="shared" si="175"/>
        <v>49.092933468442595</v>
      </c>
      <c r="S240" s="4">
        <f t="shared" si="181"/>
        <v>0.05209441323455628</v>
      </c>
      <c r="T240" s="5">
        <f t="shared" si="176"/>
        <v>335.7505008317802</v>
      </c>
      <c r="U240" s="4">
        <f t="shared" si="163"/>
        <v>344.47683074175853</v>
      </c>
      <c r="V240" s="4">
        <f t="shared" si="141"/>
        <v>0.050175831826874205</v>
      </c>
      <c r="W240" s="4">
        <f>SUMPRODUCT($J$4:J240,$S$118:S$354)</f>
        <v>5.498989521179911</v>
      </c>
      <c r="X240" s="6">
        <f t="shared" si="192"/>
        <v>1.1087191820079405</v>
      </c>
      <c r="Y240" s="4">
        <f t="shared" si="164"/>
        <v>1986</v>
      </c>
      <c r="Z240" s="4">
        <f t="shared" si="177"/>
        <v>236</v>
      </c>
      <c r="AA240" s="3">
        <f t="shared" si="187"/>
        <v>102.8792</v>
      </c>
      <c r="AB240" s="6">
        <f t="shared" si="166"/>
        <v>209.2145745</v>
      </c>
      <c r="AC240" s="24">
        <f t="shared" si="142"/>
        <v>198.1018960050382</v>
      </c>
      <c r="AD240" s="4">
        <f t="shared" si="143"/>
        <v>8.10035003198816</v>
      </c>
      <c r="AE240" s="4">
        <f t="shared" si="144"/>
        <v>11.112678494961784</v>
      </c>
      <c r="AF240" s="6">
        <f t="shared" si="194"/>
        <v>1604.6946996413265</v>
      </c>
      <c r="AG240" s="30">
        <f t="shared" si="182"/>
        <v>0.4613505461778027</v>
      </c>
      <c r="AH240" s="21">
        <v>1.46</v>
      </c>
      <c r="AI240" s="47">
        <f t="shared" si="167"/>
        <v>3.435</v>
      </c>
      <c r="AJ240" s="4">
        <f t="shared" si="145"/>
        <v>2.5162077498189674</v>
      </c>
      <c r="AK240" s="4">
        <f t="shared" si="146"/>
        <v>119.99096358880888</v>
      </c>
      <c r="AL240" s="4">
        <f t="shared" si="147"/>
        <v>0.9187922501810326</v>
      </c>
      <c r="AM240" s="5">
        <f t="shared" si="178"/>
        <v>301.9221924904065</v>
      </c>
      <c r="AN240" s="26">
        <f t="shared" si="168"/>
        <v>0.10601830689279992</v>
      </c>
      <c r="AO240" s="4">
        <f t="shared" si="148"/>
        <v>1.0421957336949128</v>
      </c>
      <c r="AP240" s="21">
        <f t="shared" si="193"/>
        <v>27.200000000000003</v>
      </c>
      <c r="AQ240" s="21">
        <f t="shared" si="189"/>
        <v>768.5</v>
      </c>
      <c r="AR240" s="21">
        <f t="shared" si="183"/>
        <v>134.156</v>
      </c>
      <c r="AS240" s="35">
        <f t="shared" si="149"/>
        <v>0.1234514553137846</v>
      </c>
      <c r="AT240" s="36">
        <f t="shared" si="150"/>
        <v>0.04132976992761613</v>
      </c>
      <c r="AU240" s="4">
        <f t="shared" si="151"/>
        <v>33.065638707381</v>
      </c>
      <c r="AV240" s="4">
        <f t="shared" si="152"/>
        <v>0.33875682571000193</v>
      </c>
      <c r="AW240" s="4">
        <f t="shared" si="153"/>
        <v>0.023067527308890137</v>
      </c>
      <c r="AX240" s="21">
        <f t="shared" si="195"/>
        <v>55.396</v>
      </c>
      <c r="AY240" s="36">
        <f t="shared" si="154"/>
        <v>-0.3268200589970502</v>
      </c>
      <c r="AZ240" s="36">
        <f t="shared" si="155"/>
        <v>-0.7002068505033011</v>
      </c>
      <c r="BA240" s="36">
        <f t="shared" si="156"/>
        <v>-0.08833333333333333</v>
      </c>
      <c r="BB240" s="6">
        <f t="shared" si="190"/>
        <v>0.9225521452637505</v>
      </c>
      <c r="BC240" s="6">
        <f t="shared" si="179"/>
        <v>0.025307071284261462</v>
      </c>
      <c r="BD240" s="4">
        <f t="shared" si="170"/>
        <v>0.7759327933149601</v>
      </c>
      <c r="BE240" s="4">
        <f>SUMPRODUCT(BC$4:BC240,$BD$118:BD$354)</f>
        <v>0.48724450957269555</v>
      </c>
      <c r="BF240" s="23">
        <f t="shared" si="171"/>
        <v>0.48724450957269555</v>
      </c>
      <c r="BG240" s="48"/>
    </row>
    <row r="241" spans="5:59" ht="15">
      <c r="E241" s="1">
        <f t="shared" si="172"/>
        <v>237</v>
      </c>
      <c r="F241" s="1">
        <f t="shared" si="157"/>
        <v>1987</v>
      </c>
      <c r="G241" s="3">
        <f t="shared" si="185"/>
        <v>2.67845</v>
      </c>
      <c r="H241" s="3">
        <f aca="true" t="shared" si="196" ref="H241:H253">H240-0.019133</f>
        <v>0.6819340000000009</v>
      </c>
      <c r="I241" s="5">
        <f t="shared" si="158"/>
        <v>0.635014269891733</v>
      </c>
      <c r="J241" s="5">
        <f t="shared" si="173"/>
        <v>0.9778867029850277</v>
      </c>
      <c r="K241" s="4">
        <f t="shared" si="159"/>
        <v>1.7474830271232404</v>
      </c>
      <c r="L241" s="4">
        <f t="shared" si="160"/>
        <v>0.0009944143878256484</v>
      </c>
      <c r="M241" s="4">
        <f t="shared" si="140"/>
        <v>3.6560342958648366</v>
      </c>
      <c r="N241" s="4">
        <f t="shared" si="161"/>
        <v>0.0036356131061920072</v>
      </c>
      <c r="O241" s="4">
        <f>SUMPRODUCT($M$4:M241,L$117:$L$354)</f>
        <v>2.3078990008846874</v>
      </c>
      <c r="P241" s="4">
        <f t="shared" si="162"/>
        <v>1.3481352949801493</v>
      </c>
      <c r="Q241" s="4">
        <f t="shared" si="174"/>
        <v>34.8775688967654</v>
      </c>
      <c r="R241" s="4">
        <f t="shared" si="175"/>
        <v>50.4880133598849</v>
      </c>
      <c r="S241" s="4">
        <f t="shared" si="181"/>
        <v>0.05230458673180738</v>
      </c>
      <c r="T241" s="5">
        <f t="shared" si="176"/>
        <v>337.3701964385919</v>
      </c>
      <c r="U241" s="4">
        <f t="shared" si="163"/>
        <v>346.22984996763626</v>
      </c>
      <c r="V241" s="4">
        <f t="shared" si="141"/>
        <v>0.05114795987016154</v>
      </c>
      <c r="W241" s="4">
        <f>SUMPRODUCT($J$4:J241,$S$117:S$354)</f>
        <v>5.633665800306179</v>
      </c>
      <c r="X241" s="6">
        <f t="shared" si="192"/>
        <v>1.1358759281577744</v>
      </c>
      <c r="Y241" s="4">
        <f t="shared" si="164"/>
        <v>1987</v>
      </c>
      <c r="Z241" s="4">
        <f t="shared" si="177"/>
        <v>237</v>
      </c>
      <c r="AA241" s="3">
        <f t="shared" si="187"/>
        <v>103.6814</v>
      </c>
      <c r="AB241" s="6">
        <f t="shared" si="166"/>
        <v>210.0167745</v>
      </c>
      <c r="AC241" s="24">
        <f t="shared" si="142"/>
        <v>198.8465170840382</v>
      </c>
      <c r="AD241" s="4">
        <f t="shared" si="143"/>
        <v>8.125902338301465</v>
      </c>
      <c r="AE241" s="4">
        <f t="shared" si="144"/>
        <v>11.1702574159618</v>
      </c>
      <c r="AF241" s="6">
        <f t="shared" si="194"/>
        <v>1615.8073781362882</v>
      </c>
      <c r="AG241" s="30">
        <f t="shared" si="182"/>
        <v>0.4663353159796713</v>
      </c>
      <c r="AH241" s="21">
        <v>1.46</v>
      </c>
      <c r="AI241" s="47">
        <f t="shared" si="167"/>
        <v>3.435</v>
      </c>
      <c r="AJ241" s="4">
        <f t="shared" si="145"/>
        <v>2.523864928515603</v>
      </c>
      <c r="AK241" s="4">
        <f t="shared" si="146"/>
        <v>119.99096358880888</v>
      </c>
      <c r="AL241" s="4">
        <f t="shared" si="147"/>
        <v>0.9111350714843969</v>
      </c>
      <c r="AM241" s="5">
        <f t="shared" si="178"/>
        <v>302.8409847405875</v>
      </c>
      <c r="AN241" s="26">
        <f t="shared" si="168"/>
        <v>0.10918853875764441</v>
      </c>
      <c r="AO241" s="4">
        <f t="shared" si="148"/>
        <v>1.0384767846350464</v>
      </c>
      <c r="AP241" s="21">
        <f t="shared" si="193"/>
        <v>27.400000000000002</v>
      </c>
      <c r="AQ241" s="21">
        <f t="shared" si="189"/>
        <v>775.75</v>
      </c>
      <c r="AR241" s="21">
        <f t="shared" si="183"/>
        <v>136.077</v>
      </c>
      <c r="AS241" s="35">
        <f t="shared" si="149"/>
        <v>0.12306325603822445</v>
      </c>
      <c r="AT241" s="36">
        <f t="shared" si="150"/>
        <v>0.03775500937548996</v>
      </c>
      <c r="AU241" s="4">
        <f t="shared" si="151"/>
        <v>33.13945918788296</v>
      </c>
      <c r="AV241" s="4">
        <f t="shared" si="152"/>
        <v>0.34185728589108444</v>
      </c>
      <c r="AW241" s="4">
        <f t="shared" si="153"/>
        <v>0.023316765798983567</v>
      </c>
      <c r="AX241" s="21">
        <f t="shared" si="195"/>
        <v>56.282000000000004</v>
      </c>
      <c r="AY241" s="36">
        <f t="shared" si="154"/>
        <v>-0.33204719764011803</v>
      </c>
      <c r="AZ241" s="36">
        <f t="shared" si="155"/>
        <v>-0.7077455319382187</v>
      </c>
      <c r="BA241" s="36">
        <f t="shared" si="156"/>
        <v>-0.08916666666666667</v>
      </c>
      <c r="BB241" s="6">
        <f t="shared" si="190"/>
        <v>0.947614438340155</v>
      </c>
      <c r="BC241" s="6">
        <f t="shared" si="179"/>
        <v>0.025062293076404507</v>
      </c>
      <c r="BD241" s="4">
        <f t="shared" si="170"/>
        <v>0.7754049430604657</v>
      </c>
      <c r="BE241" s="4">
        <f>SUMPRODUCT(BC$4:BC241,$BD$117:BD$354)</f>
        <v>0.5013453609762586</v>
      </c>
      <c r="BF241" s="23">
        <f t="shared" si="171"/>
        <v>0.5013453609762586</v>
      </c>
      <c r="BG241" s="48"/>
    </row>
    <row r="242" spans="5:59" ht="15">
      <c r="E242" s="1">
        <f t="shared" si="172"/>
        <v>238</v>
      </c>
      <c r="F242" s="1">
        <f t="shared" si="157"/>
        <v>1988</v>
      </c>
      <c r="G242" s="3">
        <f t="shared" si="185"/>
        <v>2.7182</v>
      </c>
      <c r="H242" s="3">
        <f t="shared" si="196"/>
        <v>0.662801000000001</v>
      </c>
      <c r="I242" s="5">
        <f t="shared" si="158"/>
        <v>0.6466169728056508</v>
      </c>
      <c r="J242" s="5">
        <f t="shared" si="173"/>
        <v>0.9936091032016825</v>
      </c>
      <c r="K242" s="4">
        <f t="shared" si="159"/>
        <v>1.7407749239926678</v>
      </c>
      <c r="L242" s="4">
        <f t="shared" si="160"/>
        <v>0.0010063533856660473</v>
      </c>
      <c r="M242" s="4">
        <f t="shared" si="140"/>
        <v>3.7427280726628194</v>
      </c>
      <c r="N242" s="4">
        <f t="shared" si="161"/>
        <v>0.003766507067551588</v>
      </c>
      <c r="O242" s="4">
        <f>SUMPRODUCT($M$4:M242,L$116:$L$354)</f>
        <v>2.3699602393964225</v>
      </c>
      <c r="P242" s="4">
        <f t="shared" si="162"/>
        <v>1.3727678332663968</v>
      </c>
      <c r="Q242" s="4">
        <f t="shared" si="174"/>
        <v>35.731758777632564</v>
      </c>
      <c r="R242" s="4">
        <f t="shared" si="175"/>
        <v>51.86230583563719</v>
      </c>
      <c r="S242" s="4">
        <f t="shared" si="181"/>
        <v>0.052517305723521986</v>
      </c>
      <c r="T242" s="5">
        <f t="shared" si="176"/>
        <v>338.97523451975223</v>
      </c>
      <c r="U242" s="4">
        <f t="shared" si="163"/>
        <v>347.9773329947595</v>
      </c>
      <c r="V242" s="4">
        <f t="shared" si="141"/>
        <v>0.052181673042517265</v>
      </c>
      <c r="W242" s="4">
        <f>SUMPRODUCT($J$4:J242,$S$116:S$354)</f>
        <v>5.7690241364596275</v>
      </c>
      <c r="X242" s="6">
        <f t="shared" si="192"/>
        <v>1.1628104058505275</v>
      </c>
      <c r="Y242" s="4">
        <f t="shared" si="164"/>
        <v>1988</v>
      </c>
      <c r="Z242" s="4">
        <f t="shared" si="177"/>
        <v>238</v>
      </c>
      <c r="AA242" s="3">
        <f t="shared" si="187"/>
        <v>104.4836</v>
      </c>
      <c r="AB242" s="6">
        <f t="shared" si="166"/>
        <v>210.8189745</v>
      </c>
      <c r="AC242" s="24">
        <f t="shared" si="142"/>
        <v>199.59249732064907</v>
      </c>
      <c r="AD242" s="4">
        <f t="shared" si="143"/>
        <v>8.15149696202498</v>
      </c>
      <c r="AE242" s="4">
        <f t="shared" si="144"/>
        <v>11.226477179350923</v>
      </c>
      <c r="AF242" s="6">
        <f t="shared" si="194"/>
        <v>1626.97763555225</v>
      </c>
      <c r="AG242" s="30">
        <f t="shared" si="182"/>
        <v>0.47132866875822627</v>
      </c>
      <c r="AH242" s="21">
        <v>1.46</v>
      </c>
      <c r="AI242" s="47">
        <f t="shared" si="167"/>
        <v>3.435</v>
      </c>
      <c r="AJ242" s="4">
        <f t="shared" si="145"/>
        <v>2.531458292584307</v>
      </c>
      <c r="AK242" s="4">
        <f t="shared" si="146"/>
        <v>119.99096358880888</v>
      </c>
      <c r="AL242" s="4">
        <f t="shared" si="147"/>
        <v>0.9035417074156928</v>
      </c>
      <c r="AM242" s="5">
        <f t="shared" si="178"/>
        <v>303.7521198120719</v>
      </c>
      <c r="AN242" s="26">
        <f t="shared" si="168"/>
        <v>0.11232760441777472</v>
      </c>
      <c r="AO242" s="4">
        <f t="shared" si="148"/>
        <v>1.034775049945355</v>
      </c>
      <c r="AP242" s="21">
        <f t="shared" si="193"/>
        <v>27.6</v>
      </c>
      <c r="AQ242" s="21">
        <f t="shared" si="189"/>
        <v>783</v>
      </c>
      <c r="AR242" s="21">
        <f t="shared" si="183"/>
        <v>137.998</v>
      </c>
      <c r="AS242" s="35">
        <f t="shared" si="149"/>
        <v>0.12267685366978065</v>
      </c>
      <c r="AT242" s="36">
        <f t="shared" si="150"/>
        <v>0.03418406004694302</v>
      </c>
      <c r="AU242" s="4">
        <f t="shared" si="151"/>
        <v>33.213220118016515</v>
      </c>
      <c r="AV242" s="4">
        <f t="shared" si="152"/>
        <v>0.34495524495669366</v>
      </c>
      <c r="AW242" s="4">
        <f t="shared" si="153"/>
        <v>0.023566433437911316</v>
      </c>
      <c r="AX242" s="21">
        <f t="shared" si="195"/>
        <v>57.168</v>
      </c>
      <c r="AY242" s="36">
        <f t="shared" si="154"/>
        <v>-0.33727433628318587</v>
      </c>
      <c r="AZ242" s="36">
        <f t="shared" si="155"/>
        <v>-0.7152165571379648</v>
      </c>
      <c r="BA242" s="36">
        <f t="shared" si="156"/>
        <v>-0.09000000000000001</v>
      </c>
      <c r="BB242" s="6">
        <f t="shared" si="190"/>
        <v>0.9724974639999828</v>
      </c>
      <c r="BC242" s="6">
        <f t="shared" si="179"/>
        <v>0.024883025659827807</v>
      </c>
      <c r="BD242" s="4">
        <f t="shared" si="170"/>
        <v>0.7748745953808245</v>
      </c>
      <c r="BE242" s="4">
        <f>SUMPRODUCT(BC$4:BC242,$BD$116:BD$354)</f>
        <v>0.5157478357073061</v>
      </c>
      <c r="BF242" s="23">
        <f t="shared" si="171"/>
        <v>0.5157478357073061</v>
      </c>
      <c r="BG242" s="48"/>
    </row>
    <row r="243" spans="5:59" ht="15">
      <c r="E243" s="1">
        <f t="shared" si="172"/>
        <v>239</v>
      </c>
      <c r="F243" s="1">
        <f t="shared" si="157"/>
        <v>1989</v>
      </c>
      <c r="G243" s="3">
        <f t="shared" si="185"/>
        <v>2.75705</v>
      </c>
      <c r="H243" s="3">
        <f t="shared" si="196"/>
        <v>0.643668000000001</v>
      </c>
      <c r="I243" s="5">
        <f t="shared" si="158"/>
        <v>0.6575292095628065</v>
      </c>
      <c r="J243" s="5">
        <f t="shared" si="173"/>
        <v>1.006308552317099</v>
      </c>
      <c r="K243" s="4">
        <f t="shared" si="159"/>
        <v>1.7368802381200958</v>
      </c>
      <c r="L243" s="4">
        <f t="shared" si="160"/>
        <v>0.0010185120930247752</v>
      </c>
      <c r="M243" s="4">
        <f t="shared" si="140"/>
        <v>3.8286572751086836</v>
      </c>
      <c r="N243" s="4">
        <f t="shared" si="161"/>
        <v>0.003899533734745478</v>
      </c>
      <c r="O243" s="4">
        <f>SUMPRODUCT($M$4:M243,L$115:$L$354)</f>
        <v>2.4327227632068453</v>
      </c>
      <c r="P243" s="4">
        <f t="shared" si="162"/>
        <v>1.3959345119018383</v>
      </c>
      <c r="Q243" s="4">
        <f t="shared" si="174"/>
        <v>36.590274633456644</v>
      </c>
      <c r="R243" s="4">
        <f t="shared" si="175"/>
        <v>53.25082381481995</v>
      </c>
      <c r="S243" s="4">
        <f t="shared" si="181"/>
        <v>0.0527326274212612</v>
      </c>
      <c r="T243" s="5">
        <f t="shared" si="176"/>
        <v>340.6009524347592</v>
      </c>
      <c r="U243" s="4">
        <f t="shared" si="163"/>
        <v>349.71810791875214</v>
      </c>
      <c r="V243" s="4">
        <f t="shared" si="141"/>
        <v>0.05306529396016631</v>
      </c>
      <c r="W243" s="4">
        <f>SUMPRODUCT($J$4:J243,$S$115:S$354)</f>
        <v>5.901851423255913</v>
      </c>
      <c r="X243" s="6">
        <f t="shared" si="192"/>
        <v>1.189507341569771</v>
      </c>
      <c r="Y243" s="4">
        <f t="shared" si="164"/>
        <v>1989</v>
      </c>
      <c r="Z243" s="4">
        <f t="shared" si="177"/>
        <v>239</v>
      </c>
      <c r="AA243" s="3">
        <f t="shared" si="187"/>
        <v>105.2858</v>
      </c>
      <c r="AB243" s="6">
        <f t="shared" si="166"/>
        <v>211.6211745</v>
      </c>
      <c r="AC243" s="24">
        <f t="shared" si="142"/>
        <v>200.44631446426598</v>
      </c>
      <c r="AD243" s="4">
        <f t="shared" si="143"/>
        <v>8.172782408646617</v>
      </c>
      <c r="AE243" s="4">
        <f t="shared" si="144"/>
        <v>11.174860035734014</v>
      </c>
      <c r="AF243" s="6">
        <f t="shared" si="194"/>
        <v>1638.2041127316008</v>
      </c>
      <c r="AG243" s="30">
        <f t="shared" si="182"/>
        <v>0.47632991182661666</v>
      </c>
      <c r="AH243" s="21">
        <v>1.46</v>
      </c>
      <c r="AI243" s="47">
        <f t="shared" si="167"/>
        <v>3.435</v>
      </c>
      <c r="AJ243" s="4">
        <f t="shared" si="145"/>
        <v>2.538988373853693</v>
      </c>
      <c r="AK243" s="4">
        <f t="shared" si="146"/>
        <v>119.99096358880888</v>
      </c>
      <c r="AL243" s="4">
        <f t="shared" si="147"/>
        <v>0.8960116261463069</v>
      </c>
      <c r="AM243" s="5">
        <f t="shared" si="178"/>
        <v>304.6556615194876</v>
      </c>
      <c r="AN243" s="26">
        <f t="shared" si="168"/>
        <v>0.11543586336429953</v>
      </c>
      <c r="AO243" s="4">
        <f t="shared" si="148"/>
        <v>1.0317142075451082</v>
      </c>
      <c r="AP243" s="21">
        <f t="shared" si="193"/>
        <v>27.8</v>
      </c>
      <c r="AQ243" s="21">
        <f t="shared" si="189"/>
        <v>790.25</v>
      </c>
      <c r="AR243" s="21">
        <v>138</v>
      </c>
      <c r="AS243" s="35">
        <f t="shared" si="149"/>
        <v>0.12235735028770897</v>
      </c>
      <c r="AT243" s="36">
        <f t="shared" si="150"/>
        <v>0.03122169803364657</v>
      </c>
      <c r="AU243" s="4">
        <f t="shared" si="151"/>
        <v>33.28058424947427</v>
      </c>
      <c r="AV243" s="4">
        <f t="shared" si="152"/>
        <v>0.3477845384779195</v>
      </c>
      <c r="AW243" s="4">
        <f t="shared" si="153"/>
        <v>0.023816495591330835</v>
      </c>
      <c r="AX243" s="21">
        <f t="shared" si="195"/>
        <v>58.054</v>
      </c>
      <c r="AY243" s="36">
        <f t="shared" si="154"/>
        <v>-0.34250147492625377</v>
      </c>
      <c r="AZ243" s="36">
        <f t="shared" si="155"/>
        <v>-0.7226211296768574</v>
      </c>
      <c r="BA243" s="36">
        <f t="shared" si="156"/>
        <v>-0.09083333333333334</v>
      </c>
      <c r="BB243" s="6">
        <f t="shared" si="190"/>
        <v>0.996918212893493</v>
      </c>
      <c r="BC243" s="6">
        <f t="shared" si="179"/>
        <v>0.024420748893510202</v>
      </c>
      <c r="BD243" s="4">
        <f t="shared" si="170"/>
        <v>0.774341651366153</v>
      </c>
      <c r="BE243" s="4">
        <f>SUMPRODUCT(BC$4:BC243,$BD$115:BD$354)</f>
        <v>0.5304240261669938</v>
      </c>
      <c r="BF243" s="23">
        <f t="shared" si="171"/>
        <v>0.5304240261669938</v>
      </c>
      <c r="BG243" s="48"/>
    </row>
    <row r="244" spans="5:59" ht="15">
      <c r="E244" s="1">
        <f t="shared" si="172"/>
        <v>240</v>
      </c>
      <c r="F244" s="1">
        <f t="shared" si="157"/>
        <v>1990</v>
      </c>
      <c r="G244" s="3">
        <f t="shared" si="185"/>
        <v>2.795</v>
      </c>
      <c r="H244" s="3">
        <f t="shared" si="196"/>
        <v>0.6245350000000011</v>
      </c>
      <c r="I244" s="5">
        <f t="shared" si="158"/>
        <v>0.6678870528208753</v>
      </c>
      <c r="J244" s="5">
        <f t="shared" si="173"/>
        <v>1.0200621302218353</v>
      </c>
      <c r="K244" s="4">
        <f t="shared" si="159"/>
        <v>1.7315858169572902</v>
      </c>
      <c r="L244" s="4">
        <f t="shared" si="160"/>
        <v>0.001030897830803449</v>
      </c>
      <c r="M244" s="4">
        <f t="shared" si="140"/>
        <v>3.913968987844483</v>
      </c>
      <c r="N244" s="4">
        <f t="shared" si="161"/>
        <v>0.0040349021394008484</v>
      </c>
      <c r="O244" s="4">
        <f>SUMPRODUCT($M$4:M244,L$114:$L$354)</f>
        <v>2.496044774705765</v>
      </c>
      <c r="P244" s="4">
        <f t="shared" si="162"/>
        <v>1.4179242131387184</v>
      </c>
      <c r="Q244" s="4">
        <f t="shared" si="174"/>
        <v>37.43273720385518</v>
      </c>
      <c r="R244" s="4">
        <f t="shared" si="175"/>
        <v>54.62050611854572</v>
      </c>
      <c r="S244" s="4">
        <f t="shared" si="181"/>
        <v>0.05295061118788233</v>
      </c>
      <c r="T244" s="5">
        <f t="shared" si="176"/>
        <v>342.2132252570624</v>
      </c>
      <c r="U244" s="4">
        <f t="shared" si="163"/>
        <v>351.4549881568722</v>
      </c>
      <c r="V244" s="4">
        <f t="shared" si="141"/>
        <v>0.0540129132448594</v>
      </c>
      <c r="W244" s="4">
        <f>SUMPRODUCT($J$4:J244,$S$114:S$354)</f>
        <v>6.035071351262148</v>
      </c>
      <c r="X244" s="6">
        <f t="shared" si="192"/>
        <v>1.21601243234425</v>
      </c>
      <c r="Y244" s="4">
        <f t="shared" si="164"/>
        <v>1990</v>
      </c>
      <c r="Z244" s="4">
        <f t="shared" si="177"/>
        <v>240</v>
      </c>
      <c r="AA244" s="3">
        <f t="shared" si="187"/>
        <v>106.088</v>
      </c>
      <c r="AB244" s="6">
        <f t="shared" si="166"/>
        <v>212.4233745</v>
      </c>
      <c r="AC244" s="24">
        <f t="shared" si="142"/>
        <v>201.29276413460988</v>
      </c>
      <c r="AD244" s="4">
        <f t="shared" si="143"/>
        <v>8.193930764765845</v>
      </c>
      <c r="AE244" s="4">
        <f t="shared" si="144"/>
        <v>11.130610365390112</v>
      </c>
      <c r="AF244" s="6">
        <f t="shared" si="194"/>
        <v>1649.3789727673347</v>
      </c>
      <c r="AG244" s="30">
        <f t="shared" si="182"/>
        <v>0.48129117030195356</v>
      </c>
      <c r="AH244" s="21">
        <v>1.46</v>
      </c>
      <c r="AI244" s="47">
        <f t="shared" si="167"/>
        <v>3.435</v>
      </c>
      <c r="AJ244" s="4">
        <f t="shared" si="145"/>
        <v>2.5464556997201377</v>
      </c>
      <c r="AK244" s="4">
        <f t="shared" si="146"/>
        <v>119.99096358880888</v>
      </c>
      <c r="AL244" s="4">
        <f t="shared" si="147"/>
        <v>0.8885443002798623</v>
      </c>
      <c r="AM244" s="5">
        <f t="shared" si="178"/>
        <v>305.5516731456339</v>
      </c>
      <c r="AN244" s="26">
        <f t="shared" si="168"/>
        <v>0.11851366976407575</v>
      </c>
      <c r="AO244" s="4">
        <f t="shared" si="148"/>
        <v>1.0286888277823132</v>
      </c>
      <c r="AP244" s="21">
        <f t="shared" si="193"/>
        <v>28</v>
      </c>
      <c r="AQ244" s="21">
        <f t="shared" si="189"/>
        <v>797.5</v>
      </c>
      <c r="AR244" s="21">
        <v>138</v>
      </c>
      <c r="AS244" s="35">
        <f t="shared" si="149"/>
        <v>0.12204154864232326</v>
      </c>
      <c r="AT244" s="36">
        <f t="shared" si="150"/>
        <v>0.02828500857512978</v>
      </c>
      <c r="AU244" s="4">
        <f t="shared" si="151"/>
        <v>33.3475504910136</v>
      </c>
      <c r="AV244" s="4">
        <f t="shared" si="152"/>
        <v>0.3505971206225712</v>
      </c>
      <c r="AW244" s="4">
        <f t="shared" si="153"/>
        <v>0.02406455851509768</v>
      </c>
      <c r="AX244" s="21">
        <f t="shared" si="195"/>
        <v>58.94</v>
      </c>
      <c r="AY244" s="36">
        <f t="shared" si="154"/>
        <v>-0.34772861356932155</v>
      </c>
      <c r="AZ244" s="36">
        <f t="shared" si="155"/>
        <v>-0.7299604212955819</v>
      </c>
      <c r="BA244" s="36">
        <f t="shared" si="156"/>
        <v>-0.09166666666666667</v>
      </c>
      <c r="BB244" s="6">
        <f t="shared" si="190"/>
        <v>1.021123250016378</v>
      </c>
      <c r="BC244" s="6">
        <f t="shared" si="179"/>
        <v>0.02420503712288502</v>
      </c>
      <c r="BD244" s="4">
        <f t="shared" si="170"/>
        <v>0.7738060051772964</v>
      </c>
      <c r="BE244" s="4">
        <f>SUMPRODUCT(BC$4:BC244,$BD$114:BD$354)</f>
        <v>0.5453342203751694</v>
      </c>
      <c r="BF244" s="23">
        <f t="shared" si="171"/>
        <v>0.5453342203751694</v>
      </c>
      <c r="BG244" s="48"/>
    </row>
    <row r="245" spans="5:59" ht="15">
      <c r="E245" s="1">
        <f t="shared" si="172"/>
        <v>241</v>
      </c>
      <c r="F245" s="1">
        <f t="shared" si="157"/>
        <v>1991</v>
      </c>
      <c r="G245" s="3">
        <f t="shared" si="185"/>
        <v>2.8320499999999997</v>
      </c>
      <c r="H245" s="3">
        <f t="shared" si="196"/>
        <v>0.6054020000000011</v>
      </c>
      <c r="I245" s="5">
        <f t="shared" si="158"/>
        <v>0.6777180829500424</v>
      </c>
      <c r="J245" s="5">
        <f t="shared" si="173"/>
        <v>1.0313854487544474</v>
      </c>
      <c r="K245" s="4">
        <f t="shared" si="159"/>
        <v>1.728348468295511</v>
      </c>
      <c r="L245" s="4">
        <f t="shared" si="160"/>
        <v>0.001043518255618025</v>
      </c>
      <c r="M245" s="4">
        <f t="shared" si="140"/>
        <v>3.998601996716799</v>
      </c>
      <c r="N245" s="4">
        <f t="shared" si="161"/>
        <v>0.004172614180524666</v>
      </c>
      <c r="O245" s="4">
        <f>SUMPRODUCT($M$4:M245,L$113:$L$354)</f>
        <v>2.559806506613859</v>
      </c>
      <c r="P245" s="4">
        <f t="shared" si="162"/>
        <v>1.4387954901029403</v>
      </c>
      <c r="Q245" s="4">
        <f t="shared" si="174"/>
        <v>38.27769011739749</v>
      </c>
      <c r="R245" s="4">
        <f t="shared" si="175"/>
        <v>56.00137664126631</v>
      </c>
      <c r="S245" s="4">
        <f t="shared" si="181"/>
        <v>0.05317131864251273</v>
      </c>
      <c r="T245" s="5">
        <f t="shared" si="176"/>
        <v>343.84222180811423</v>
      </c>
      <c r="U245" s="4">
        <f t="shared" si="163"/>
        <v>353.1865739738295</v>
      </c>
      <c r="V245" s="4">
        <f t="shared" si="141"/>
        <v>0.05484012433897371</v>
      </c>
      <c r="W245" s="4">
        <f>SUMPRODUCT($J$4:J245,$S$113:S$354)</f>
        <v>6.165999369494946</v>
      </c>
      <c r="X245" s="6">
        <f t="shared" si="192"/>
        <v>1.2423066598394237</v>
      </c>
      <c r="Y245" s="4">
        <f t="shared" si="164"/>
        <v>1991</v>
      </c>
      <c r="Z245" s="4">
        <f t="shared" si="177"/>
        <v>241</v>
      </c>
      <c r="AA245" s="3">
        <f t="shared" si="187"/>
        <v>106.8902</v>
      </c>
      <c r="AB245" s="6">
        <f t="shared" si="166"/>
        <v>213.2255745</v>
      </c>
      <c r="AC245" s="24">
        <f t="shared" si="142"/>
        <v>202.1324346465393</v>
      </c>
      <c r="AD245" s="4">
        <f t="shared" si="143"/>
        <v>8.214958603929102</v>
      </c>
      <c r="AE245" s="4">
        <f t="shared" si="144"/>
        <v>11.093139853460684</v>
      </c>
      <c r="AF245" s="6">
        <f t="shared" si="194"/>
        <v>1660.5095831327249</v>
      </c>
      <c r="AG245" s="30">
        <f t="shared" si="182"/>
        <v>0.48621610426374295</v>
      </c>
      <c r="AH245" s="21">
        <v>1.46</v>
      </c>
      <c r="AI245" s="47">
        <f t="shared" si="167"/>
        <v>3.435</v>
      </c>
      <c r="AJ245" s="4">
        <f t="shared" si="145"/>
        <v>2.5538607931847155</v>
      </c>
      <c r="AK245" s="4">
        <f t="shared" si="146"/>
        <v>119.99096358880888</v>
      </c>
      <c r="AL245" s="4">
        <f t="shared" si="147"/>
        <v>0.8811392068152846</v>
      </c>
      <c r="AM245" s="5">
        <f t="shared" si="178"/>
        <v>306.4402174459138</v>
      </c>
      <c r="AN245" s="26">
        <f t="shared" si="168"/>
        <v>0.12156137256593737</v>
      </c>
      <c r="AO245" s="4">
        <f t="shared" si="148"/>
        <v>1.0256961325877763</v>
      </c>
      <c r="AP245" s="21">
        <f t="shared" si="193"/>
        <v>28.200000000000003</v>
      </c>
      <c r="AQ245" s="21">
        <f t="shared" si="189"/>
        <v>804.75</v>
      </c>
      <c r="AR245" s="21">
        <v>138</v>
      </c>
      <c r="AS245" s="35">
        <f t="shared" si="149"/>
        <v>0.12172915874727766</v>
      </c>
      <c r="AT245" s="36">
        <f t="shared" si="150"/>
        <v>0.025371535814006044</v>
      </c>
      <c r="AU245" s="4">
        <f t="shared" si="151"/>
        <v>33.414153971656155</v>
      </c>
      <c r="AV245" s="4">
        <f t="shared" si="152"/>
        <v>0.35339446680955855</v>
      </c>
      <c r="AW245" s="4">
        <f t="shared" si="153"/>
        <v>0.02431080521318715</v>
      </c>
      <c r="AX245" s="21">
        <f t="shared" si="195"/>
        <v>59.826</v>
      </c>
      <c r="AY245" s="36">
        <f t="shared" si="154"/>
        <v>-0.3529557522123894</v>
      </c>
      <c r="AZ245" s="36">
        <f t="shared" si="155"/>
        <v>-0.7372355730140213</v>
      </c>
      <c r="BA245" s="36">
        <f t="shared" si="156"/>
        <v>-0.09250000000000001</v>
      </c>
      <c r="BB245" s="6">
        <f t="shared" si="190"/>
        <v>1.0450980834654389</v>
      </c>
      <c r="BC245" s="6">
        <f t="shared" si="179"/>
        <v>0.023974833449060817</v>
      </c>
      <c r="BD245" s="4">
        <f t="shared" si="170"/>
        <v>0.7732675435479441</v>
      </c>
      <c r="BE245" s="4">
        <f>SUMPRODUCT(BC$4:BC245,$BD$113:BD$354)</f>
        <v>0.5604532554445493</v>
      </c>
      <c r="BF245" s="23">
        <f t="shared" si="171"/>
        <v>0.5604532554445493</v>
      </c>
      <c r="BG245" s="48"/>
    </row>
    <row r="246" spans="5:59" ht="15">
      <c r="E246" s="1">
        <f t="shared" si="172"/>
        <v>242</v>
      </c>
      <c r="F246" s="1">
        <f t="shared" si="157"/>
        <v>1992</v>
      </c>
      <c r="G246" s="3">
        <f t="shared" si="185"/>
        <v>2.8682</v>
      </c>
      <c r="H246" s="3">
        <f t="shared" si="196"/>
        <v>0.5862690000000012</v>
      </c>
      <c r="I246" s="5">
        <f t="shared" si="158"/>
        <v>0.6871212825580589</v>
      </c>
      <c r="J246" s="5">
        <f t="shared" si="173"/>
        <v>1.0436951972093549</v>
      </c>
      <c r="K246" s="4">
        <f t="shared" si="159"/>
        <v>1.723652520232587</v>
      </c>
      <c r="L246" s="4">
        <f t="shared" si="160"/>
        <v>0.0010563813766128883</v>
      </c>
      <c r="M246" s="4">
        <f t="shared" si="140"/>
        <v>4.082664012906902</v>
      </c>
      <c r="N246" s="4">
        <f t="shared" si="161"/>
        <v>0.004312850230202492</v>
      </c>
      <c r="O246" s="4">
        <f>SUMPRODUCT($M$4:M246,L$112:$L$354)</f>
        <v>2.6239055300361422</v>
      </c>
      <c r="P246" s="4">
        <f t="shared" si="162"/>
        <v>1.4587584828707594</v>
      </c>
      <c r="Q246" s="4">
        <f t="shared" si="174"/>
        <v>39.10810649823314</v>
      </c>
      <c r="R246" s="4">
        <f t="shared" si="175"/>
        <v>57.365503285177894</v>
      </c>
      <c r="S246" s="4">
        <f t="shared" si="181"/>
        <v>0.05339481377112566</v>
      </c>
      <c r="T246" s="5">
        <f t="shared" si="176"/>
        <v>345.4590439554083</v>
      </c>
      <c r="U246" s="4">
        <f t="shared" si="163"/>
        <v>354.91492244212503</v>
      </c>
      <c r="V246" s="4">
        <f t="shared" si="141"/>
        <v>0.05572791068881178</v>
      </c>
      <c r="W246" s="4">
        <f>SUMPRODUCT($J$4:J246,$S$112:S$354)</f>
        <v>6.2971392881579495</v>
      </c>
      <c r="X246" s="6">
        <f t="shared" si="192"/>
        <v>1.2684234883305416</v>
      </c>
      <c r="Y246" s="4">
        <f t="shared" si="164"/>
        <v>1992</v>
      </c>
      <c r="Z246" s="4">
        <f t="shared" si="177"/>
        <v>242</v>
      </c>
      <c r="AA246" s="3">
        <f t="shared" si="187"/>
        <v>107.69239999999999</v>
      </c>
      <c r="AB246" s="6">
        <f t="shared" si="166"/>
        <v>214.0277745</v>
      </c>
      <c r="AC246" s="24">
        <f t="shared" si="142"/>
        <v>202.96596656320543</v>
      </c>
      <c r="AD246" s="4">
        <f t="shared" si="143"/>
        <v>8.235876936863864</v>
      </c>
      <c r="AE246" s="4">
        <f t="shared" si="144"/>
        <v>11.061807936794565</v>
      </c>
      <c r="AF246" s="6">
        <f t="shared" si="194"/>
        <v>1671.6027229861857</v>
      </c>
      <c r="AG246" s="30">
        <f t="shared" si="182"/>
        <v>0.49110806291571474</v>
      </c>
      <c r="AH246" s="21">
        <v>1.46</v>
      </c>
      <c r="AI246" s="47">
        <f t="shared" si="167"/>
        <v>3.435</v>
      </c>
      <c r="AJ246" s="4">
        <f t="shared" si="145"/>
        <v>2.561204172889831</v>
      </c>
      <c r="AK246" s="4">
        <f t="shared" si="146"/>
        <v>119.99096358880888</v>
      </c>
      <c r="AL246" s="4">
        <f t="shared" si="147"/>
        <v>0.8737958271101691</v>
      </c>
      <c r="AM246" s="5">
        <f t="shared" si="178"/>
        <v>307.3213566527291</v>
      </c>
      <c r="AN246" s="26">
        <f t="shared" si="168"/>
        <v>0.12457931560413911</v>
      </c>
      <c r="AO246" s="4">
        <f t="shared" si="148"/>
        <v>1.0227341851178446</v>
      </c>
      <c r="AP246" s="21">
        <f t="shared" si="193"/>
        <v>28.400000000000002</v>
      </c>
      <c r="AQ246" s="21">
        <f t="shared" si="189"/>
        <v>812</v>
      </c>
      <c r="AR246" s="21">
        <v>138</v>
      </c>
      <c r="AS246" s="35">
        <f t="shared" si="149"/>
        <v>0.1214199784268255</v>
      </c>
      <c r="AT246" s="36">
        <f t="shared" si="150"/>
        <v>0.022479614611110574</v>
      </c>
      <c r="AU246" s="4">
        <f t="shared" si="151"/>
        <v>33.4804207092014</v>
      </c>
      <c r="AV246" s="4">
        <f t="shared" si="152"/>
        <v>0.3561776697864587</v>
      </c>
      <c r="AW246" s="4">
        <f t="shared" si="153"/>
        <v>0.024555403145785738</v>
      </c>
      <c r="AX246" s="21">
        <f t="shared" si="195"/>
        <v>60.712</v>
      </c>
      <c r="AY246" s="36">
        <f t="shared" si="154"/>
        <v>-0.3581828908554573</v>
      </c>
      <c r="AZ246" s="36">
        <f t="shared" si="155"/>
        <v>-0.7444476961958805</v>
      </c>
      <c r="BA246" s="36">
        <f t="shared" si="156"/>
        <v>-0.09333333333333334</v>
      </c>
      <c r="BB246" s="6">
        <f t="shared" si="190"/>
        <v>1.068880019397969</v>
      </c>
      <c r="BC246" s="6">
        <f t="shared" si="179"/>
        <v>0.023781935932530196</v>
      </c>
      <c r="BD246" s="4">
        <f t="shared" si="170"/>
        <v>0.7727261452509446</v>
      </c>
      <c r="BE246" s="4">
        <f>SUMPRODUCT(BC$4:BC246,$BD$112:BD$354)</f>
        <v>0.5757569454222058</v>
      </c>
      <c r="BF246" s="23">
        <f t="shared" si="171"/>
        <v>0.5757569454222058</v>
      </c>
      <c r="BG246" s="48"/>
    </row>
    <row r="247" spans="5:59" ht="15">
      <c r="E247" s="1">
        <f t="shared" si="172"/>
        <v>243</v>
      </c>
      <c r="F247" s="1">
        <f t="shared" si="157"/>
        <v>1993</v>
      </c>
      <c r="G247" s="3">
        <f t="shared" si="185"/>
        <v>2.9034500000000003</v>
      </c>
      <c r="H247" s="3">
        <f t="shared" si="196"/>
        <v>0.5671360000000012</v>
      </c>
      <c r="I247" s="5">
        <f t="shared" si="158"/>
        <v>0.6961039358329147</v>
      </c>
      <c r="J247" s="5">
        <f t="shared" si="173"/>
        <v>1.0539315805065372</v>
      </c>
      <c r="K247" s="4">
        <f t="shared" si="159"/>
        <v>1.7205504836605499</v>
      </c>
      <c r="L247" s="4">
        <f t="shared" si="160"/>
        <v>0.0010694955731330173</v>
      </c>
      <c r="M247" s="4">
        <f t="shared" si="140"/>
        <v>4.166090921952306</v>
      </c>
      <c r="N247" s="4">
        <f t="shared" si="161"/>
        <v>0.004455615798297642</v>
      </c>
      <c r="O247" s="4">
        <f>SUMPRODUCT($M$4:M247,L$111:$L$354)</f>
        <v>2.688262266179028</v>
      </c>
      <c r="P247" s="4">
        <f t="shared" si="162"/>
        <v>1.477828655773278</v>
      </c>
      <c r="Q247" s="4">
        <f t="shared" si="174"/>
        <v>39.93986686632777</v>
      </c>
      <c r="R247" s="4">
        <f t="shared" si="175"/>
        <v>58.73885233572115</v>
      </c>
      <c r="S247" s="4">
        <f t="shared" si="181"/>
        <v>0.053621163043025305</v>
      </c>
      <c r="T247" s="5">
        <f t="shared" si="176"/>
        <v>347.0899548429684</v>
      </c>
      <c r="U247" s="4">
        <f t="shared" si="163"/>
        <v>356.6385749623576</v>
      </c>
      <c r="V247" s="4">
        <f t="shared" si="141"/>
        <v>0.056513037114534384</v>
      </c>
      <c r="W247" s="4">
        <f>SUMPRODUCT($J$4:J247,$S$111:S$354)</f>
        <v>6.426152447405518</v>
      </c>
      <c r="X247" s="6">
        <f t="shared" si="192"/>
        <v>1.2943429983998163</v>
      </c>
      <c r="Y247" s="4">
        <f t="shared" si="164"/>
        <v>1993</v>
      </c>
      <c r="Z247" s="4">
        <f t="shared" si="177"/>
        <v>243</v>
      </c>
      <c r="AA247" s="3">
        <f t="shared" si="187"/>
        <v>108.49459999999999</v>
      </c>
      <c r="AB247" s="6">
        <f t="shared" si="166"/>
        <v>214.8299745</v>
      </c>
      <c r="AC247" s="24">
        <f t="shared" si="142"/>
        <v>203.80146149036682</v>
      </c>
      <c r="AD247" s="4">
        <f t="shared" si="143"/>
        <v>8.256390894441724</v>
      </c>
      <c r="AE247" s="4">
        <f t="shared" si="144"/>
        <v>11.028513009633173</v>
      </c>
      <c r="AF247" s="6">
        <f t="shared" si="194"/>
        <v>1682.6645309229802</v>
      </c>
      <c r="AG247" s="30">
        <f t="shared" si="182"/>
        <v>0.4959700676321707</v>
      </c>
      <c r="AH247" s="21">
        <v>1.47</v>
      </c>
      <c r="AI247" s="47">
        <f t="shared" si="167"/>
        <v>3.4450000000000003</v>
      </c>
      <c r="AJ247" s="4">
        <f t="shared" si="145"/>
        <v>2.568897045430687</v>
      </c>
      <c r="AK247" s="4">
        <f t="shared" si="146"/>
        <v>119.97178050713548</v>
      </c>
      <c r="AL247" s="4">
        <f t="shared" si="147"/>
        <v>0.8761029545693133</v>
      </c>
      <c r="AM247" s="5">
        <f t="shared" si="178"/>
        <v>308.19515247983924</v>
      </c>
      <c r="AN247" s="26">
        <f t="shared" si="168"/>
        <v>0.12756783769910526</v>
      </c>
      <c r="AO247" s="4">
        <f t="shared" si="148"/>
        <v>1.0198440718261836</v>
      </c>
      <c r="AP247" s="21">
        <f t="shared" si="193"/>
        <v>28.6</v>
      </c>
      <c r="AQ247" s="21">
        <f t="shared" si="189"/>
        <v>819.25</v>
      </c>
      <c r="AR247" s="21">
        <v>138</v>
      </c>
      <c r="AS247" s="35">
        <f t="shared" si="149"/>
        <v>0.12111829645483584</v>
      </c>
      <c r="AT247" s="36">
        <f t="shared" si="150"/>
        <v>0.01964974485161083</v>
      </c>
      <c r="AU247" s="4">
        <f t="shared" si="151"/>
        <v>33.546374142943584</v>
      </c>
      <c r="AV247" s="4">
        <f t="shared" si="152"/>
        <v>0.35894771400363057</v>
      </c>
      <c r="AW247" s="4">
        <f t="shared" si="153"/>
        <v>0.02479850338160854</v>
      </c>
      <c r="AX247" s="21">
        <f t="shared" si="195"/>
        <v>61.598</v>
      </c>
      <c r="AY247" s="36">
        <f t="shared" si="154"/>
        <v>-0.36341002949852513</v>
      </c>
      <c r="AZ247" s="36">
        <f t="shared" si="155"/>
        <v>-0.7515978735675867</v>
      </c>
      <c r="BA247" s="36">
        <f t="shared" si="156"/>
        <v>-0.09416666666666668</v>
      </c>
      <c r="BB247" s="6">
        <f t="shared" si="190"/>
        <v>1.0924525513835528</v>
      </c>
      <c r="BC247" s="6">
        <f t="shared" si="179"/>
        <v>0.023572531985583733</v>
      </c>
      <c r="BD247" s="4">
        <f t="shared" si="170"/>
        <v>0.7721816805262394</v>
      </c>
      <c r="BE247" s="4">
        <f>SUMPRODUCT(BC$4:BC247,$BD$111:BD$354)</f>
        <v>0.5912245165287647</v>
      </c>
      <c r="BF247" s="23">
        <f t="shared" si="171"/>
        <v>0.5912245165287647</v>
      </c>
      <c r="BG247" s="48"/>
    </row>
    <row r="248" spans="5:59" ht="15">
      <c r="E248" s="1">
        <f t="shared" si="172"/>
        <v>244</v>
      </c>
      <c r="F248" s="1">
        <f t="shared" si="157"/>
        <v>1994</v>
      </c>
      <c r="G248" s="3">
        <f t="shared" si="185"/>
        <v>2.9378</v>
      </c>
      <c r="H248" s="3">
        <f t="shared" si="196"/>
        <v>0.5480030000000012</v>
      </c>
      <c r="I248" s="5">
        <f t="shared" si="158"/>
        <v>0.7047366876150365</v>
      </c>
      <c r="J248" s="5">
        <f t="shared" si="173"/>
        <v>1.0650818155781927</v>
      </c>
      <c r="K248" s="4">
        <f t="shared" si="159"/>
        <v>1.7159844968067723</v>
      </c>
      <c r="L248" s="4">
        <f t="shared" si="160"/>
        <v>0.0010828696132981752</v>
      </c>
      <c r="M248" s="4">
        <f t="shared" si="140"/>
        <v>4.248966535398068</v>
      </c>
      <c r="N248" s="4">
        <f t="shared" si="161"/>
        <v>0.004601076749103394</v>
      </c>
      <c r="O248" s="4">
        <f>SUMPRODUCT($M$4:M248,L$110:$L$354)</f>
        <v>2.752810547591346</v>
      </c>
      <c r="P248" s="4">
        <f t="shared" si="162"/>
        <v>1.4961559878067225</v>
      </c>
      <c r="Q248" s="4">
        <f t="shared" si="174"/>
        <v>40.75813817470461</v>
      </c>
      <c r="R248" s="4">
        <f t="shared" si="175"/>
        <v>60.096824493857724</v>
      </c>
      <c r="S248" s="4">
        <f t="shared" si="181"/>
        <v>0.053850435533565305</v>
      </c>
      <c r="T248" s="5">
        <f t="shared" si="176"/>
        <v>348.7094841968797</v>
      </c>
      <c r="U248" s="4">
        <f t="shared" si="163"/>
        <v>358.35912544601814</v>
      </c>
      <c r="V248" s="4">
        <f t="shared" si="141"/>
        <v>0.057355119647766156</v>
      </c>
      <c r="W248" s="4">
        <f>SUMPRODUCT($J$4:J248,$S$110:S$354)</f>
        <v>6.555249361136851</v>
      </c>
      <c r="X248" s="6">
        <f t="shared" si="192"/>
        <v>1.3200912290580527</v>
      </c>
      <c r="Y248" s="4">
        <f t="shared" si="164"/>
        <v>1994</v>
      </c>
      <c r="Z248" s="4">
        <f t="shared" si="177"/>
        <v>244</v>
      </c>
      <c r="AA248" s="3">
        <f t="shared" si="187"/>
        <v>109.2968</v>
      </c>
      <c r="AB248" s="6">
        <f t="shared" si="166"/>
        <v>215.63217450000002</v>
      </c>
      <c r="AC248" s="24">
        <f t="shared" si="142"/>
        <v>204.62376966687722</v>
      </c>
      <c r="AD248" s="4">
        <f t="shared" si="143"/>
        <v>8.277108014821087</v>
      </c>
      <c r="AE248" s="4">
        <f t="shared" si="144"/>
        <v>11.008404833122796</v>
      </c>
      <c r="AF248" s="6">
        <f t="shared" si="194"/>
        <v>1693.6930439326134</v>
      </c>
      <c r="AG248" s="30">
        <f t="shared" si="182"/>
        <v>0.5008015547363479</v>
      </c>
      <c r="AH248" s="21">
        <v>1.47</v>
      </c>
      <c r="AI248" s="47">
        <f t="shared" si="167"/>
        <v>3.4450000000000003</v>
      </c>
      <c r="AJ248" s="4">
        <f t="shared" si="145"/>
        <v>2.5761996206768485</v>
      </c>
      <c r="AK248" s="4">
        <f t="shared" si="146"/>
        <v>119.97178050713548</v>
      </c>
      <c r="AL248" s="4">
        <f t="shared" si="147"/>
        <v>0.8688003793231518</v>
      </c>
      <c r="AM248" s="5">
        <f t="shared" si="178"/>
        <v>309.07125543440856</v>
      </c>
      <c r="AN248" s="26">
        <f t="shared" si="168"/>
        <v>0.13056000023560002</v>
      </c>
      <c r="AO248" s="4">
        <f t="shared" si="148"/>
        <v>1.0169398751119132</v>
      </c>
      <c r="AP248" s="21">
        <f t="shared" si="193"/>
        <v>28.8</v>
      </c>
      <c r="AQ248" s="21">
        <f t="shared" si="189"/>
        <v>826.5</v>
      </c>
      <c r="AR248" s="21">
        <v>138</v>
      </c>
      <c r="AS248" s="35">
        <f t="shared" si="149"/>
        <v>0.1208151443969788</v>
      </c>
      <c r="AT248" s="36">
        <f t="shared" si="150"/>
        <v>0.016797995468149522</v>
      </c>
      <c r="AU248" s="4">
        <f aca="true" t="shared" si="197" ref="AU248:AU253">$AU$254+5*LN(AF248/$AF$254)+0.125*(AP248-$AP$254)+0.0011*(AQ248-$AQ$254)+0.0033*(AR248-$AR$254)</f>
        <v>33.61201319581017</v>
      </c>
      <c r="AV248" s="4">
        <f t="shared" si="152"/>
        <v>0.3617045542240272</v>
      </c>
      <c r="AW248" s="4">
        <f t="shared" si="153"/>
        <v>0.0250400777368174</v>
      </c>
      <c r="AX248" s="21">
        <f t="shared" si="195"/>
        <v>62.484</v>
      </c>
      <c r="AY248" s="36">
        <f t="shared" si="154"/>
        <v>-0.368637168141593</v>
      </c>
      <c r="AZ248" s="36">
        <f t="shared" si="155"/>
        <v>-0.7586871601938059</v>
      </c>
      <c r="BA248" s="36">
        <f t="shared" si="156"/>
        <v>-0.095</v>
      </c>
      <c r="BB248" s="6">
        <f t="shared" si="190"/>
        <v>1.1158730876554461</v>
      </c>
      <c r="BC248" s="6">
        <f t="shared" si="179"/>
        <v>0.023420536271893333</v>
      </c>
      <c r="BD248" s="4">
        <f t="shared" si="170"/>
        <v>0.7716340104676617</v>
      </c>
      <c r="BE248" s="4">
        <f>SUMPRODUCT(BC$4:BC248,$BD$110:BD$354)</f>
        <v>0.6068357812058287</v>
      </c>
      <c r="BF248" s="23">
        <f t="shared" si="171"/>
        <v>0.6068357812058287</v>
      </c>
      <c r="BG248" s="48"/>
    </row>
    <row r="249" spans="5:59" ht="15">
      <c r="E249" s="1">
        <f t="shared" si="172"/>
        <v>245</v>
      </c>
      <c r="F249" s="1">
        <f t="shared" si="157"/>
        <v>1995</v>
      </c>
      <c r="G249" s="3">
        <f t="shared" si="185"/>
        <v>2.97125</v>
      </c>
      <c r="H249" s="3">
        <f t="shared" si="196"/>
        <v>0.5288700000000013</v>
      </c>
      <c r="I249" s="5">
        <f>P249/2.123</f>
        <v>0.7130129963958374</v>
      </c>
      <c r="J249" s="5">
        <f>(U249-T249)/9.06</f>
        <v>1.0743953173937282</v>
      </c>
      <c r="K249" s="4">
        <f t="shared" si="159"/>
        <v>1.7127116862104357</v>
      </c>
      <c r="L249" s="4">
        <f t="shared" si="160"/>
        <v>0.0010965126735253366</v>
      </c>
      <c r="M249" s="4">
        <f t="shared" si="140"/>
        <v>4.331226839186785</v>
      </c>
      <c r="N249" s="4">
        <f t="shared" si="161"/>
        <v>0.004749245121081395</v>
      </c>
      <c r="O249" s="4">
        <f>SUMPRODUCT($M$4:M249,L$109:$L$354)</f>
        <v>2.817500247838422</v>
      </c>
      <c r="P249" s="4">
        <f t="shared" si="162"/>
        <v>1.5137265913483628</v>
      </c>
      <c r="Q249" s="4">
        <f t="shared" si="174"/>
        <v>41.576940699365224</v>
      </c>
      <c r="R249" s="4">
        <f t="shared" si="175"/>
        <v>61.46256872221487</v>
      </c>
      <c r="S249" s="4">
        <f t="shared" si="181"/>
        <v>0.05408270305344311</v>
      </c>
      <c r="T249" s="5">
        <f t="shared" si="176"/>
        <v>350.3410883672377</v>
      </c>
      <c r="U249" s="4">
        <f t="shared" si="163"/>
        <v>360.0751099428249</v>
      </c>
      <c r="V249" s="4">
        <f t="shared" si="141"/>
        <v>0.05810620291261476</v>
      </c>
      <c r="W249" s="4">
        <f>SUMPRODUCT($J$4:J249,$S$109:S$354)</f>
        <v>6.6823328673762745</v>
      </c>
      <c r="X249" s="6">
        <f t="shared" si="192"/>
        <v>1.345648292081841</v>
      </c>
      <c r="Y249" s="4">
        <f t="shared" si="164"/>
        <v>1995</v>
      </c>
      <c r="Z249" s="4">
        <f t="shared" si="177"/>
        <v>245</v>
      </c>
      <c r="AA249" s="3">
        <f t="shared" si="187"/>
        <v>110.099</v>
      </c>
      <c r="AB249" s="6">
        <f t="shared" si="166"/>
        <v>216.4343745</v>
      </c>
      <c r="AC249" s="24">
        <f t="shared" si="142"/>
        <v>205.44914788181381</v>
      </c>
      <c r="AD249" s="4">
        <f t="shared" si="143"/>
        <v>8.297437425957973</v>
      </c>
      <c r="AE249" s="4">
        <f t="shared" si="144"/>
        <v>10.985226618186175</v>
      </c>
      <c r="AF249" s="6">
        <f t="shared" si="194"/>
        <v>1704.7014487657361</v>
      </c>
      <c r="AG249" s="30">
        <f t="shared" si="182"/>
        <v>0.5056085707540394</v>
      </c>
      <c r="AH249" s="21">
        <v>1.48</v>
      </c>
      <c r="AI249" s="47">
        <f t="shared" si="167"/>
        <v>3.455</v>
      </c>
      <c r="AJ249" s="4">
        <f t="shared" si="145"/>
        <v>2.5838532128993106</v>
      </c>
      <c r="AK249" s="4">
        <f t="shared" si="146"/>
        <v>119.95265608217416</v>
      </c>
      <c r="AL249" s="4">
        <f t="shared" si="147"/>
        <v>0.8711467871006895</v>
      </c>
      <c r="AM249" s="5">
        <f t="shared" si="178"/>
        <v>309.9400558137317</v>
      </c>
      <c r="AN249" s="26">
        <f t="shared" si="168"/>
        <v>0.133523037166606</v>
      </c>
      <c r="AO249" s="4">
        <f t="shared" si="148"/>
        <v>1.0141041266873656</v>
      </c>
      <c r="AP249" s="21">
        <f t="shared" si="193"/>
        <v>29</v>
      </c>
      <c r="AQ249" s="21">
        <f t="shared" si="189"/>
        <v>833.75</v>
      </c>
      <c r="AR249" s="21">
        <v>138</v>
      </c>
      <c r="AS249" s="35">
        <f t="shared" si="149"/>
        <v>0.12051913725454168</v>
      </c>
      <c r="AT249" s="36">
        <f t="shared" si="150"/>
        <v>0.014005588937627381</v>
      </c>
      <c r="AU249" s="4">
        <f t="shared" si="197"/>
        <v>33.67738126659957</v>
      </c>
      <c r="AV249" s="4">
        <f t="shared" si="152"/>
        <v>0.36445001319718184</v>
      </c>
      <c r="AW249" s="4">
        <f t="shared" si="153"/>
        <v>0.02528042853770197</v>
      </c>
      <c r="AX249" s="21">
        <f t="shared" si="195"/>
        <v>63.37</v>
      </c>
      <c r="AY249" s="36">
        <f t="shared" si="154"/>
        <v>-0.37386430678466076</v>
      </c>
      <c r="AZ249" s="36">
        <f t="shared" si="155"/>
        <v>-0.7657165844117709</v>
      </c>
      <c r="BA249" s="36">
        <f t="shared" si="156"/>
        <v>-0.09583333333333334</v>
      </c>
      <c r="BB249" s="6">
        <f t="shared" si="190"/>
        <v>1.139096117207605</v>
      </c>
      <c r="BC249" s="6">
        <f t="shared" si="179"/>
        <v>0.023223029552158936</v>
      </c>
      <c r="BD249" s="4">
        <f t="shared" si="170"/>
        <v>0.7710829863656384</v>
      </c>
      <c r="BE249" s="4">
        <f>SUMPRODUCT(BC$4:BC249,$BD$109:BD$354)</f>
        <v>0.6225746675086524</v>
      </c>
      <c r="BF249" s="23">
        <f t="shared" si="171"/>
        <v>0.6225746675086524</v>
      </c>
      <c r="BG249" s="48"/>
    </row>
    <row r="250" spans="5:59" ht="15">
      <c r="E250" s="1">
        <f t="shared" si="172"/>
        <v>246</v>
      </c>
      <c r="F250" s="1">
        <f t="shared" si="157"/>
        <v>1996</v>
      </c>
      <c r="G250" s="3">
        <f t="shared" si="185"/>
        <v>3.0038</v>
      </c>
      <c r="H250" s="3">
        <f t="shared" si="196"/>
        <v>0.5097370000000013</v>
      </c>
      <c r="I250" s="5">
        <f t="shared" si="158"/>
        <v>0.7209852442282725</v>
      </c>
      <c r="J250" s="5">
        <f t="shared" si="173"/>
        <v>1.0845626205663583</v>
      </c>
      <c r="K250" s="4">
        <f t="shared" si="159"/>
        <v>1.7079891352053704</v>
      </c>
      <c r="L250" s="4">
        <f t="shared" si="160"/>
        <v>0.0011104343590479253</v>
      </c>
      <c r="M250" s="4">
        <f t="shared" si="140"/>
        <v>4.412940276153422</v>
      </c>
      <c r="N250" s="4">
        <f t="shared" si="161"/>
        <v>0.004900280507067199</v>
      </c>
      <c r="O250" s="4">
        <f>SUMPRODUCT($M$4:M250,L$108:$L$354)</f>
        <v>2.882288602656799</v>
      </c>
      <c r="P250" s="4">
        <f t="shared" si="162"/>
        <v>1.5306516734966227</v>
      </c>
      <c r="Q250" s="4">
        <f t="shared" si="174"/>
        <v>42.38297310357991</v>
      </c>
      <c r="R250" s="4">
        <f t="shared" si="175"/>
        <v>62.81378874086626</v>
      </c>
      <c r="S250" s="4">
        <f t="shared" si="181"/>
        <v>0.05431804028493134</v>
      </c>
      <c r="T250" s="5">
        <f t="shared" si="176"/>
        <v>351.9616842867041</v>
      </c>
      <c r="U250" s="4">
        <f t="shared" si="163"/>
        <v>361.7878216290353</v>
      </c>
      <c r="V250" s="4">
        <f t="shared" si="141"/>
        <v>0.05891131611545416</v>
      </c>
      <c r="W250" s="4">
        <f>SUMPRODUCT($J$4:J250,$S$108:S$354)</f>
        <v>6.809405409218768</v>
      </c>
      <c r="X250" s="6">
        <f t="shared" si="192"/>
        <v>1.3710354516504533</v>
      </c>
      <c r="Y250" s="4">
        <f t="shared" si="164"/>
        <v>1996</v>
      </c>
      <c r="Z250" s="4">
        <f t="shared" si="177"/>
        <v>246</v>
      </c>
      <c r="AA250" s="3">
        <f t="shared" si="187"/>
        <v>110.9012</v>
      </c>
      <c r="AB250" s="6">
        <f t="shared" si="166"/>
        <v>217.23657450000002</v>
      </c>
      <c r="AC250" s="24">
        <f t="shared" si="142"/>
        <v>206.25462554647376</v>
      </c>
      <c r="AD250" s="4">
        <f t="shared" si="143"/>
        <v>8.31829429685852</v>
      </c>
      <c r="AE250" s="4">
        <f t="shared" si="144"/>
        <v>10.981948953526256</v>
      </c>
      <c r="AF250" s="6">
        <f t="shared" si="194"/>
        <v>1715.6866753839222</v>
      </c>
      <c r="AG250" s="30">
        <f t="shared" si="182"/>
        <v>0.5103900182202069</v>
      </c>
      <c r="AH250" s="21">
        <v>1.47</v>
      </c>
      <c r="AI250" s="47">
        <f t="shared" si="167"/>
        <v>3.4450000000000003</v>
      </c>
      <c r="AJ250" s="4">
        <f t="shared" si="145"/>
        <v>2.590702590950932</v>
      </c>
      <c r="AK250" s="4">
        <f t="shared" si="146"/>
        <v>119.97178050713548</v>
      </c>
      <c r="AL250" s="4">
        <f t="shared" si="147"/>
        <v>0.8542974090490683</v>
      </c>
      <c r="AM250" s="5">
        <f t="shared" si="178"/>
        <v>310.8112026008324</v>
      </c>
      <c r="AN250" s="26">
        <f t="shared" si="168"/>
        <v>0.1364899097139255</v>
      </c>
      <c r="AO250" s="4">
        <f t="shared" si="148"/>
        <v>1.0112092078335946</v>
      </c>
      <c r="AP250" s="21">
        <f t="shared" si="193"/>
        <v>29.200000000000003</v>
      </c>
      <c r="AQ250" s="21">
        <f t="shared" si="189"/>
        <v>841</v>
      </c>
      <c r="AR250" s="21">
        <v>138</v>
      </c>
      <c r="AS250" s="35">
        <f t="shared" si="149"/>
        <v>0.12021695365811465</v>
      </c>
      <c r="AT250" s="36">
        <f t="shared" si="150"/>
        <v>0.011146850217093895</v>
      </c>
      <c r="AU250" s="4">
        <f t="shared" si="197"/>
        <v>33.742473277857904</v>
      </c>
      <c r="AV250" s="4">
        <f t="shared" si="152"/>
        <v>0.367183877670032</v>
      </c>
      <c r="AW250" s="4">
        <f t="shared" si="153"/>
        <v>0.025519500911010348</v>
      </c>
      <c r="AX250" s="21">
        <f t="shared" si="195"/>
        <v>64.256</v>
      </c>
      <c r="AY250" s="36">
        <f t="shared" si="154"/>
        <v>-0.37909144542772866</v>
      </c>
      <c r="AZ250" s="36">
        <f t="shared" si="155"/>
        <v>-0.7726871487264908</v>
      </c>
      <c r="BA250" s="36">
        <f t="shared" si="156"/>
        <v>-0.09666666666666668</v>
      </c>
      <c r="BB250" s="6">
        <f t="shared" si="190"/>
        <v>1.162173497344742</v>
      </c>
      <c r="BC250" s="6">
        <f t="shared" si="179"/>
        <v>0.023077380137136894</v>
      </c>
      <c r="BD250" s="4">
        <f t="shared" si="170"/>
        <v>0.7705284490026247</v>
      </c>
      <c r="BE250" s="4">
        <f>SUMPRODUCT(BC$4:BC250,$BD$108:BD$354)</f>
        <v>0.6384239754148465</v>
      </c>
      <c r="BF250" s="23">
        <f t="shared" si="171"/>
        <v>0.6384239754148465</v>
      </c>
      <c r="BG250" s="48"/>
    </row>
    <row r="251" spans="5:59" ht="15">
      <c r="E251" s="1">
        <f t="shared" si="172"/>
        <v>247</v>
      </c>
      <c r="F251" s="1">
        <f t="shared" si="157"/>
        <v>1997</v>
      </c>
      <c r="G251" s="3">
        <f t="shared" si="185"/>
        <v>3.03545</v>
      </c>
      <c r="H251" s="3">
        <f t="shared" si="196"/>
        <v>0.4906040000000013</v>
      </c>
      <c r="I251" s="5">
        <f t="shared" si="158"/>
        <v>0.7286392424690594</v>
      </c>
      <c r="J251" s="5">
        <f t="shared" si="173"/>
        <v>1.0930513111337226</v>
      </c>
      <c r="K251" s="4">
        <f t="shared" si="159"/>
        <v>1.7043634463972193</v>
      </c>
      <c r="L251" s="4">
        <f t="shared" si="160"/>
        <v>0.0011246447254829263</v>
      </c>
      <c r="M251" s="4">
        <f t="shared" si="140"/>
        <v>4.494044070486621</v>
      </c>
      <c r="N251" s="4">
        <f t="shared" si="161"/>
        <v>0.005054202959960598</v>
      </c>
      <c r="O251" s="4">
        <f>SUMPRODUCT($M$4:M251,L$107:$L$354)</f>
        <v>2.9471429587248075</v>
      </c>
      <c r="P251" s="4">
        <f t="shared" si="162"/>
        <v>1.5469011117618132</v>
      </c>
      <c r="Q251" s="4">
        <f t="shared" si="174"/>
        <v>43.18893596565274</v>
      </c>
      <c r="R251" s="4">
        <f t="shared" si="175"/>
        <v>64.17165772460434</v>
      </c>
      <c r="S251" s="4">
        <f t="shared" si="181"/>
        <v>0.05455652492542809</v>
      </c>
      <c r="T251" s="5">
        <f t="shared" si="176"/>
        <v>353.59276588536915</v>
      </c>
      <c r="U251" s="4">
        <f t="shared" si="163"/>
        <v>363.4958107642407</v>
      </c>
      <c r="V251" s="4">
        <f t="shared" si="141"/>
        <v>0.059633081100638786</v>
      </c>
      <c r="W251" s="4">
        <f>SUMPRODUCT($J$4:J251,$S$107:S$354)</f>
        <v>6.934535598135979</v>
      </c>
      <c r="X251" s="6">
        <f t="shared" si="192"/>
        <v>1.3962332042452623</v>
      </c>
      <c r="Y251" s="4">
        <f t="shared" si="164"/>
        <v>1997</v>
      </c>
      <c r="Z251" s="4">
        <f t="shared" si="177"/>
        <v>247</v>
      </c>
      <c r="AA251" s="3">
        <f t="shared" si="187"/>
        <v>111.7034</v>
      </c>
      <c r="AB251" s="6">
        <f t="shared" si="166"/>
        <v>218.0387745</v>
      </c>
      <c r="AC251" s="24">
        <f t="shared" si="142"/>
        <v>207.06468836784714</v>
      </c>
      <c r="AD251" s="4">
        <f t="shared" si="143"/>
        <v>8.338788414130994</v>
      </c>
      <c r="AE251" s="4">
        <f t="shared" si="144"/>
        <v>10.974086132152848</v>
      </c>
      <c r="AF251" s="6">
        <f t="shared" si="194"/>
        <v>1726.6686243374484</v>
      </c>
      <c r="AG251" s="30">
        <f t="shared" si="182"/>
        <v>0.5151547628507628</v>
      </c>
      <c r="AH251" s="21">
        <v>1.47</v>
      </c>
      <c r="AI251" s="47">
        <f t="shared" si="167"/>
        <v>3.4450000000000003</v>
      </c>
      <c r="AJ251" s="4">
        <f t="shared" si="145"/>
        <v>2.597823410575663</v>
      </c>
      <c r="AK251" s="4">
        <f t="shared" si="146"/>
        <v>119.97178050713548</v>
      </c>
      <c r="AL251" s="4">
        <f t="shared" si="147"/>
        <v>0.8471765894243375</v>
      </c>
      <c r="AM251" s="5">
        <f t="shared" si="178"/>
        <v>311.6655000098815</v>
      </c>
      <c r="AN251" s="26">
        <f t="shared" si="168"/>
        <v>0.13939536294356542</v>
      </c>
      <c r="AO251" s="4">
        <f t="shared" si="148"/>
        <v>1.008378744779921</v>
      </c>
      <c r="AP251" s="21">
        <f t="shared" si="193"/>
        <v>29.400000000000002</v>
      </c>
      <c r="AQ251" s="21">
        <f t="shared" si="189"/>
        <v>848.25</v>
      </c>
      <c r="AR251" s="21">
        <v>138</v>
      </c>
      <c r="AS251" s="35">
        <f t="shared" si="149"/>
        <v>0.11992149822453703</v>
      </c>
      <c r="AT251" s="36">
        <f t="shared" si="150"/>
        <v>0.008343837945974715</v>
      </c>
      <c r="AU251" s="4">
        <f t="shared" si="197"/>
        <v>33.807350813344144</v>
      </c>
      <c r="AV251" s="4">
        <f t="shared" si="152"/>
        <v>0.36990873416045406</v>
      </c>
      <c r="AW251" s="4">
        <f t="shared" si="153"/>
        <v>0.02575773814253814</v>
      </c>
      <c r="AX251" s="21">
        <f t="shared" si="195"/>
        <v>65.142</v>
      </c>
      <c r="AY251" s="36">
        <f t="shared" si="154"/>
        <v>-0.3843185840707965</v>
      </c>
      <c r="AZ251" s="36">
        <f t="shared" si="155"/>
        <v>-0.7795998306687918</v>
      </c>
      <c r="BA251" s="36">
        <f t="shared" si="156"/>
        <v>-0.0975</v>
      </c>
      <c r="BB251" s="6">
        <f t="shared" si="190"/>
        <v>1.1850313876029945</v>
      </c>
      <c r="BC251" s="6">
        <f t="shared" si="179"/>
        <v>0.022857890258252578</v>
      </c>
      <c r="BD251" s="4">
        <f t="shared" si="170"/>
        <v>0.7699702278978728</v>
      </c>
      <c r="BE251" s="4">
        <f>SUMPRODUCT(BC$4:BC251,$BD$107:BD$354)</f>
        <v>0.6543701525807911</v>
      </c>
      <c r="BF251" s="23">
        <f t="shared" si="171"/>
        <v>0.6543701525807911</v>
      </c>
      <c r="BG251" s="48"/>
    </row>
    <row r="252" spans="5:59" ht="15">
      <c r="E252" s="1">
        <f t="shared" si="172"/>
        <v>248</v>
      </c>
      <c r="F252" s="1">
        <f t="shared" si="157"/>
        <v>1998</v>
      </c>
      <c r="G252" s="3">
        <f t="shared" si="185"/>
        <v>3.0662</v>
      </c>
      <c r="H252" s="3">
        <f t="shared" si="196"/>
        <v>0.4714710000000013</v>
      </c>
      <c r="I252" s="5">
        <f t="shared" si="158"/>
        <v>0.7360164924535858</v>
      </c>
      <c r="J252" s="5">
        <f t="shared" si="173"/>
        <v>1.1023553573229992</v>
      </c>
      <c r="K252" s="4">
        <f t="shared" si="159"/>
        <v>1.6992991502234165</v>
      </c>
      <c r="L252" s="4">
        <f t="shared" si="160"/>
        <v>0.001139154301499564</v>
      </c>
      <c r="M252" s="4">
        <f t="shared" si="140"/>
        <v>4.574596708818709</v>
      </c>
      <c r="N252" s="4">
        <f t="shared" si="161"/>
        <v>0.005211171518476582</v>
      </c>
      <c r="O252" s="4">
        <f>SUMPRODUCT($M$4:M252,L$106:$L$354)</f>
        <v>3.0120336953397464</v>
      </c>
      <c r="P252" s="4">
        <f t="shared" si="162"/>
        <v>1.5625630134789628</v>
      </c>
      <c r="Q252" s="4">
        <f t="shared" si="174"/>
        <v>43.98257937381273</v>
      </c>
      <c r="R252" s="4">
        <f t="shared" si="175"/>
        <v>65.51542465821329</v>
      </c>
      <c r="S252" s="4">
        <f t="shared" si="181"/>
        <v>0.054798237838728656</v>
      </c>
      <c r="T252" s="5">
        <f t="shared" si="176"/>
        <v>355.2128346732915</v>
      </c>
      <c r="U252" s="4">
        <f t="shared" si="163"/>
        <v>365.2001742106379</v>
      </c>
      <c r="V252" s="4">
        <f t="shared" si="141"/>
        <v>0.06040713105338242</v>
      </c>
      <c r="W252" s="4">
        <f>SUMPRODUCT($J$4:J252,$S$106:S$354)</f>
        <v>7.059587185329334</v>
      </c>
      <c r="X252" s="6">
        <f t="shared" si="192"/>
        <v>1.4212597208002378</v>
      </c>
      <c r="Y252" s="4">
        <f t="shared" si="164"/>
        <v>1998</v>
      </c>
      <c r="Z252" s="4">
        <f t="shared" si="177"/>
        <v>248</v>
      </c>
      <c r="AA252" s="3">
        <f t="shared" si="187"/>
        <v>112.5056</v>
      </c>
      <c r="AB252" s="6">
        <f t="shared" si="166"/>
        <v>218.84097450000002</v>
      </c>
      <c r="AC252" s="24">
        <f t="shared" si="142"/>
        <v>207.87138342399115</v>
      </c>
      <c r="AD252" s="4">
        <f t="shared" si="143"/>
        <v>8.359220407579459</v>
      </c>
      <c r="AE252" s="4">
        <f t="shared" si="144"/>
        <v>10.969591076008868</v>
      </c>
      <c r="AF252" s="6">
        <f t="shared" si="194"/>
        <v>1737.6427104696013</v>
      </c>
      <c r="AG252" s="30">
        <f t="shared" si="182"/>
        <v>0.5199009838315897</v>
      </c>
      <c r="AH252" s="21">
        <v>1.47</v>
      </c>
      <c r="AI252" s="47">
        <f t="shared" si="167"/>
        <v>3.4450000000000003</v>
      </c>
      <c r="AJ252" s="4">
        <f t="shared" si="145"/>
        <v>2.604884876078994</v>
      </c>
      <c r="AK252" s="4">
        <f t="shared" si="146"/>
        <v>119.97178050713548</v>
      </c>
      <c r="AL252" s="4">
        <f t="shared" si="147"/>
        <v>0.8401151239210063</v>
      </c>
      <c r="AM252" s="5">
        <f t="shared" si="178"/>
        <v>312.51267659930585</v>
      </c>
      <c r="AN252" s="26">
        <f t="shared" si="168"/>
        <v>0.1422726686316291</v>
      </c>
      <c r="AO252" s="4">
        <f t="shared" si="148"/>
        <v>1.0055706774358046</v>
      </c>
      <c r="AP252" s="21">
        <f t="shared" si="193"/>
        <v>29.6</v>
      </c>
      <c r="AQ252" s="21">
        <f t="shared" si="189"/>
        <v>855.5</v>
      </c>
      <c r="AR252" s="21">
        <v>138</v>
      </c>
      <c r="AS252" s="35">
        <f t="shared" si="149"/>
        <v>0.11962838054769816</v>
      </c>
      <c r="AT252" s="37">
        <f t="shared" si="150"/>
        <v>0.0055552185964901565</v>
      </c>
      <c r="AU252" s="4">
        <f t="shared" si="197"/>
        <v>33.87200345942985</v>
      </c>
      <c r="AV252" s="4">
        <f t="shared" si="152"/>
        <v>0.37262414529605364</v>
      </c>
      <c r="AW252" s="4">
        <f t="shared" si="153"/>
        <v>0.025995049191579488</v>
      </c>
      <c r="AX252" s="21">
        <f t="shared" si="195"/>
        <v>66.02799999999999</v>
      </c>
      <c r="AY252" s="36">
        <f t="shared" si="154"/>
        <v>-0.38954572271386434</v>
      </c>
      <c r="AZ252" s="36">
        <f t="shared" si="155"/>
        <v>-0.7864555836180258</v>
      </c>
      <c r="BA252" s="36">
        <f t="shared" si="156"/>
        <v>-0.09833333333333333</v>
      </c>
      <c r="BB252" s="6">
        <f t="shared" si="190"/>
        <v>1.207717928085866</v>
      </c>
      <c r="BC252" s="6">
        <f t="shared" si="179"/>
        <v>0.022686540482871553</v>
      </c>
      <c r="BD252" s="4">
        <f t="shared" si="170"/>
        <v>0.7694081404978921</v>
      </c>
      <c r="BE252" s="4">
        <f>SUMPRODUCT(BC$4:BC252,$BD$106:BD$354)</f>
        <v>0.67039698181049</v>
      </c>
      <c r="BF252" s="23">
        <f t="shared" si="171"/>
        <v>0.67039698181049</v>
      </c>
      <c r="BG252" s="48"/>
    </row>
    <row r="253" spans="5:59" ht="15.75">
      <c r="E253" s="1">
        <f t="shared" si="172"/>
        <v>249</v>
      </c>
      <c r="F253" s="1">
        <f t="shared" si="157"/>
        <v>1999</v>
      </c>
      <c r="G253" s="3">
        <f t="shared" si="185"/>
        <v>3.09605</v>
      </c>
      <c r="H253" s="3">
        <f t="shared" si="196"/>
        <v>0.4523380000000013</v>
      </c>
      <c r="I253" s="5">
        <f t="shared" si="158"/>
        <v>0.743098953863339</v>
      </c>
      <c r="J253" s="5">
        <f t="shared" si="173"/>
        <v>1.110084573858204</v>
      </c>
      <c r="K253" s="4">
        <f t="shared" si="159"/>
        <v>1.6952044722784587</v>
      </c>
      <c r="L253" s="4">
        <f t="shared" si="160"/>
        <v>0.001153974112645973</v>
      </c>
      <c r="M253" s="4">
        <f t="shared" si="140"/>
        <v>4.654536602288369</v>
      </c>
      <c r="N253" s="4">
        <f>L253*M253</f>
        <v>0.005371214745403923</v>
      </c>
      <c r="O253" s="4">
        <f>SUMPRODUCT($M$4:M253,L$105:$L$354)</f>
        <v>3.0769375232365</v>
      </c>
      <c r="P253" s="4">
        <f t="shared" si="162"/>
        <v>1.5775990790518688</v>
      </c>
      <c r="Q253" s="4">
        <f t="shared" si="174"/>
        <v>44.775724247282184</v>
      </c>
      <c r="R253" s="4">
        <f t="shared" si="175"/>
        <v>66.86498591361355</v>
      </c>
      <c r="S253" s="4">
        <f t="shared" si="181"/>
        <v>0.055043263214444436</v>
      </c>
      <c r="T253" s="5">
        <f t="shared" si="176"/>
        <v>356.84210712170596</v>
      </c>
      <c r="U253" s="4">
        <f>U252+K252</f>
        <v>366.8994733608613</v>
      </c>
      <c r="V253" s="4">
        <f t="shared" si="141"/>
        <v>0.0611026773891715</v>
      </c>
      <c r="W253" s="4">
        <f>SUMPRODUCT($J$4:J253,$S$105:S$354)</f>
        <v>7.18273503788422</v>
      </c>
      <c r="X253" s="6">
        <f t="shared" si="192"/>
        <v>1.4460958665646209</v>
      </c>
      <c r="Y253" s="4">
        <f t="shared" si="164"/>
        <v>1999</v>
      </c>
      <c r="Z253" s="4">
        <f t="shared" si="177"/>
        <v>249</v>
      </c>
      <c r="AA253" s="3">
        <f t="shared" si="187"/>
        <v>113.3078</v>
      </c>
      <c r="AB253" s="6">
        <f t="shared" si="166"/>
        <v>219.6431745</v>
      </c>
      <c r="AC253" s="24">
        <f t="shared" si="142"/>
        <v>208.67502272566392</v>
      </c>
      <c r="AD253" s="4">
        <f t="shared" si="143"/>
        <v>8.379595596567565</v>
      </c>
      <c r="AE253" s="4">
        <f t="shared" si="144"/>
        <v>10.968151774336064</v>
      </c>
      <c r="AF253" s="6">
        <f>AF252+AE252</f>
        <v>1748.61230154561</v>
      </c>
      <c r="AG253" s="30">
        <f t="shared" si="182"/>
        <v>0.5246303060332193</v>
      </c>
      <c r="AH253" s="21">
        <v>1.47</v>
      </c>
      <c r="AI253" s="47">
        <f t="shared" si="167"/>
        <v>3.4450000000000003</v>
      </c>
      <c r="AJ253" s="4">
        <f aca="true" t="shared" si="198" ref="AJ253:AJ258">AM253/AK253</f>
        <v>2.6118874821949465</v>
      </c>
      <c r="AK253" s="4">
        <f t="shared" si="146"/>
        <v>119.97178050713548</v>
      </c>
      <c r="AL253" s="4">
        <f t="shared" si="147"/>
        <v>0.8331125178050538</v>
      </c>
      <c r="AM253" s="5">
        <f t="shared" si="178"/>
        <v>313.35279172322686</v>
      </c>
      <c r="AN253" s="26">
        <f t="shared" si="168"/>
        <v>0.14512214233828757</v>
      </c>
      <c r="AO253" s="4">
        <f t="shared" si="148"/>
        <v>1.0027840537868626</v>
      </c>
      <c r="AP253" s="21">
        <f t="shared" si="193"/>
        <v>29.8</v>
      </c>
      <c r="AQ253" s="21">
        <f t="shared" si="189"/>
        <v>862.75</v>
      </c>
      <c r="AR253" s="21">
        <v>138</v>
      </c>
      <c r="AS253" s="35">
        <f t="shared" si="149"/>
        <v>0.1193375012524015</v>
      </c>
      <c r="AT253" s="37">
        <f t="shared" si="150"/>
        <v>0.0027801854871581707</v>
      </c>
      <c r="AU253" s="4">
        <f t="shared" si="197"/>
        <v>33.936443820513155</v>
      </c>
      <c r="AV253" s="4">
        <f t="shared" si="152"/>
        <v>0.3753306404615525</v>
      </c>
      <c r="AW253" s="4">
        <f t="shared" si="153"/>
        <v>0.02623151530166096</v>
      </c>
      <c r="AX253" s="21">
        <f t="shared" si="195"/>
        <v>66.914</v>
      </c>
      <c r="AY253" s="36">
        <f t="shared" si="154"/>
        <v>-0.3947728613569322</v>
      </c>
      <c r="AZ253" s="36">
        <f t="shared" si="155"/>
        <v>-0.7932553375911766</v>
      </c>
      <c r="BA253" s="36">
        <f t="shared" si="156"/>
        <v>-0.09916666666666668</v>
      </c>
      <c r="BB253" s="6">
        <f t="shared" si="190"/>
        <v>1.2302156050845658</v>
      </c>
      <c r="BC253" s="6">
        <f t="shared" si="179"/>
        <v>0.022497676998699756</v>
      </c>
      <c r="BD253" s="4">
        <f t="shared" si="170"/>
        <v>0.7688419913086918</v>
      </c>
      <c r="BE253" s="4">
        <f>SUMPRODUCT(BC$4:BC253,$BD$105:BD$354)</f>
        <v>0.686491647248399</v>
      </c>
      <c r="BF253" s="23">
        <f t="shared" si="171"/>
        <v>0.686491647248399</v>
      </c>
      <c r="BG253" s="49" t="s">
        <v>77</v>
      </c>
    </row>
    <row r="254" spans="2:59" ht="15">
      <c r="B254" s="83"/>
      <c r="E254" s="38">
        <f t="shared" si="172"/>
        <v>250</v>
      </c>
      <c r="F254" s="38">
        <f t="shared" si="157"/>
        <v>2000</v>
      </c>
      <c r="G254" s="39">
        <v>3.13</v>
      </c>
      <c r="H254" s="39">
        <v>0.43</v>
      </c>
      <c r="I254" s="39">
        <f t="shared" si="158"/>
        <v>0.7499218774636729</v>
      </c>
      <c r="J254" s="39">
        <f t="shared" si="173"/>
        <v>1.1186152816398531</v>
      </c>
      <c r="K254" s="39">
        <f>G254+H254-I254-J254</f>
        <v>1.691462840896474</v>
      </c>
      <c r="L254" s="4">
        <f t="shared" si="160"/>
        <v>0.0011691157063931955</v>
      </c>
      <c r="M254" s="39">
        <f>60*$B$8*LN(U254/$U$4)</f>
        <v>4.733915813277278</v>
      </c>
      <c r="N254" s="39">
        <f>L254*M254</f>
        <v>0.005534495330045584</v>
      </c>
      <c r="O254" s="4">
        <f>SUMPRODUCT($M$4:M254,L$104:$L$354)</f>
        <v>3.1418316674219002</v>
      </c>
      <c r="P254" s="39">
        <f>M254-O254</f>
        <v>1.5920841458553778</v>
      </c>
      <c r="Q254" s="39">
        <f t="shared" si="174"/>
        <v>45.55679460492312</v>
      </c>
      <c r="R254" s="39">
        <f t="shared" si="175"/>
        <v>68.20052892258958</v>
      </c>
      <c r="S254" s="4">
        <f t="shared" si="181"/>
        <v>0.05529168873601824</v>
      </c>
      <c r="T254" s="39">
        <f t="shared" si="176"/>
        <v>358.4600233814827</v>
      </c>
      <c r="U254" s="39">
        <f>U253+K253</f>
        <v>368.59467783313977</v>
      </c>
      <c r="V254" s="39">
        <f t="shared" si="141"/>
        <v>0.061850127967784135</v>
      </c>
      <c r="W254" s="4">
        <f>SUMPRODUCT($J$4:J254,$S$104:S$354)</f>
        <v>7.305761410111088</v>
      </c>
      <c r="X254" s="40">
        <f t="shared" si="192"/>
        <v>1.4707578165524644</v>
      </c>
      <c r="Y254" s="39">
        <f t="shared" si="164"/>
        <v>2000</v>
      </c>
      <c r="Z254" s="39">
        <f t="shared" si="177"/>
        <v>250</v>
      </c>
      <c r="AA254" s="39">
        <f>0.8022*(Z254-200)+$AA$204</f>
        <v>114.11</v>
      </c>
      <c r="AB254" s="40">
        <f>AA254+$B$16</f>
        <v>220.4453745</v>
      </c>
      <c r="AC254" s="41">
        <f>AF254/AD254</f>
        <v>209.44395582194085</v>
      </c>
      <c r="AD254" s="39">
        <f>1/AS254</f>
        <v>8.400051427102083</v>
      </c>
      <c r="AE254" s="39">
        <f>AB254-AC254</f>
        <v>11.001418678059167</v>
      </c>
      <c r="AF254" s="40">
        <v>1759.34</v>
      </c>
      <c r="AG254" s="44">
        <f t="shared" si="182"/>
        <v>0.5292410151947627</v>
      </c>
      <c r="AH254" s="21">
        <f>0.0058212*Z254</f>
        <v>1.4553</v>
      </c>
      <c r="AI254" s="47">
        <f t="shared" si="167"/>
        <v>3.4303</v>
      </c>
      <c r="AJ254" s="39">
        <f t="shared" si="198"/>
        <v>2.6333333333333333</v>
      </c>
      <c r="AK254" s="39">
        <f>120*(AI254/$AI$254)^-0.055</f>
        <v>120</v>
      </c>
      <c r="AL254" s="39">
        <f>AI254-AJ254</f>
        <v>0.7969666666666666</v>
      </c>
      <c r="AM254" s="39">
        <v>316</v>
      </c>
      <c r="AN254" s="45">
        <f t="shared" si="168"/>
        <v>0.1540759598592642</v>
      </c>
      <c r="AO254" s="39">
        <f>EXP(AT254)</f>
        <v>1</v>
      </c>
      <c r="AP254" s="39">
        <v>30</v>
      </c>
      <c r="AQ254" s="39">
        <v>870</v>
      </c>
      <c r="AR254" s="40">
        <v>138</v>
      </c>
      <c r="AS254" s="42">
        <f aca="true" t="shared" si="199" ref="AS254:AS259">AO254/9.58+1/68.2</f>
        <v>0.11904689020993149</v>
      </c>
      <c r="AT254" s="43">
        <f>-0.32*LN(AF254/$AF$254)+0.0042*(AI254-$AI$254)-0.000105*(AQ254-$AQ$254)-0.000315*(AR254-$AR$254)</f>
        <v>0</v>
      </c>
      <c r="AU254" s="39">
        <v>34</v>
      </c>
      <c r="AV254" s="39">
        <f>0.042*(AU254-$B$14)</f>
        <v>0.378</v>
      </c>
      <c r="AW254" s="39">
        <f aca="true" t="shared" si="200" ref="AW254:AW285">0.05*0.036*(SQRT(AF254)-SQRT($B$12))</f>
        <v>0.026462050759738138</v>
      </c>
      <c r="AX254" s="39">
        <v>67.8</v>
      </c>
      <c r="AY254" s="43">
        <f>-0.4*(AX254/$AX$254)</f>
        <v>-0.4</v>
      </c>
      <c r="AZ254" s="43">
        <f t="shared" si="155"/>
        <v>-0.8000000000000002</v>
      </c>
      <c r="BA254" s="43">
        <f>-0.1*(AQ254/$AQ$254)</f>
        <v>-0.1</v>
      </c>
      <c r="BB254" s="40">
        <f t="shared" si="190"/>
        <v>1.258536842366229</v>
      </c>
      <c r="BC254" s="40">
        <f t="shared" si="179"/>
        <v>0.028321237281663247</v>
      </c>
      <c r="BD254" s="4">
        <f t="shared" si="170"/>
        <v>0.7682715709656248</v>
      </c>
      <c r="BE254" s="4">
        <f>SUMPRODUCT(BC$4:BC254,$BD$104:BD$354)</f>
        <v>0.702641337791772</v>
      </c>
      <c r="BF254" s="39">
        <f t="shared" si="171"/>
        <v>0.702641337791772</v>
      </c>
      <c r="BG254" s="39">
        <f>BF254-$BF$254</f>
        <v>0</v>
      </c>
    </row>
    <row r="255" spans="2:59" ht="15">
      <c r="B255" s="84"/>
      <c r="E255" s="1">
        <f t="shared" si="172"/>
        <v>251</v>
      </c>
      <c r="F255" s="1">
        <f t="shared" si="157"/>
        <v>2001</v>
      </c>
      <c r="G255" s="3">
        <f>G254+($B$21/100)*G254</f>
        <v>3.13</v>
      </c>
      <c r="H255" s="3">
        <f>H254+($B$21/100)*H254</f>
        <v>0.43</v>
      </c>
      <c r="I255" s="5">
        <f t="shared" si="158"/>
        <v>0.7565045762431549</v>
      </c>
      <c r="J255" s="5">
        <f t="shared" si="173"/>
        <v>1.125825291952109</v>
      </c>
      <c r="K255" s="4">
        <f>G255+H255-I255-J255</f>
        <v>1.677670131804736</v>
      </c>
      <c r="L255" s="4">
        <f t="shared" si="160"/>
        <v>0.001184591178458878</v>
      </c>
      <c r="M255" s="4">
        <f t="shared" si="140"/>
        <v>4.8127567853832875</v>
      </c>
      <c r="N255" s="4">
        <f t="shared" si="161"/>
        <v>0.00570114923203315</v>
      </c>
      <c r="O255" s="4">
        <f>SUMPRODUCT($M$4:M255,L$103:$L$354)</f>
        <v>3.2066975700190694</v>
      </c>
      <c r="P255" s="4">
        <f t="shared" si="162"/>
        <v>1.6060592153642181</v>
      </c>
      <c r="Q255" s="4">
        <f t="shared" si="174"/>
        <v>46.337094468549886</v>
      </c>
      <c r="R255" s="4">
        <f t="shared" si="175"/>
        <v>69.54126289775441</v>
      </c>
      <c r="S255" s="4">
        <f t="shared" si="181"/>
        <v>0.05554360575781078</v>
      </c>
      <c r="T255" s="5">
        <f t="shared" si="176"/>
        <v>360.0861635289501</v>
      </c>
      <c r="U255" s="4">
        <f t="shared" si="163"/>
        <v>370.28614067403623</v>
      </c>
      <c r="V255" s="4">
        <f t="shared" si="141"/>
        <v>0.06253239616836016</v>
      </c>
      <c r="W255" s="4">
        <f>SUMPRODUCT($J$4:J255,$S$103:S$354)</f>
        <v>7.427088654570346</v>
      </c>
      <c r="X255" s="6">
        <f t="shared" si="192"/>
        <v>1.4952525436585709</v>
      </c>
      <c r="Y255" s="4">
        <f t="shared" si="164"/>
        <v>2001</v>
      </c>
      <c r="Z255" s="4">
        <f t="shared" si="177"/>
        <v>251</v>
      </c>
      <c r="AA255" s="3">
        <f>AA254+($B$22/100)*AA254</f>
        <v>114.11</v>
      </c>
      <c r="AB255" s="6">
        <f t="shared" si="166"/>
        <v>220.4453745</v>
      </c>
      <c r="AC255" s="4">
        <f>AF255/AD255</f>
        <v>210.38538181930053</v>
      </c>
      <c r="AD255" s="4">
        <f>1/AS255</f>
        <v>8.414754881584885</v>
      </c>
      <c r="AE255" s="4">
        <f>AB255-AC255</f>
        <v>10.05999268069948</v>
      </c>
      <c r="AF255" s="23">
        <f>AF254+AE254</f>
        <v>1770.3414186780592</v>
      </c>
      <c r="AG255" s="30">
        <f t="shared" si="182"/>
        <v>0.5339547914977497</v>
      </c>
      <c r="AH255" s="3">
        <f>AH254+($B$22/100)*AH254</f>
        <v>1.4553</v>
      </c>
      <c r="AI255" s="47">
        <f t="shared" si="167"/>
        <v>3.4303</v>
      </c>
      <c r="AJ255" s="4">
        <f t="shared" si="198"/>
        <v>2.639974722222222</v>
      </c>
      <c r="AK255" s="4">
        <f aca="true" t="shared" si="201" ref="AK255:AK318">120*(AI255/$AI$254)^-0.055</f>
        <v>120</v>
      </c>
      <c r="AL255" s="4">
        <f aca="true" t="shared" si="202" ref="AL255:AL318">AI255-AJ255</f>
        <v>0.7903252777777778</v>
      </c>
      <c r="AM255" s="4">
        <f>AL254+AM254</f>
        <v>316.79696666666666</v>
      </c>
      <c r="AN255" s="26">
        <f t="shared" si="168"/>
        <v>0.1567642385980163</v>
      </c>
      <c r="AO255" s="4">
        <f aca="true" t="shared" si="203" ref="AO255:AO260">EXP(AT255)</f>
        <v>0.9980072102719633</v>
      </c>
      <c r="AP255" s="3">
        <f>AP254+($B$22/100)*AP254</f>
        <v>30</v>
      </c>
      <c r="AQ255" s="3">
        <f>AQ254+($B$22/100)*AQ254</f>
        <v>870</v>
      </c>
      <c r="AR255" s="21">
        <f>AR254+($B$22/100)*AR254</f>
        <v>138</v>
      </c>
      <c r="AS255" s="35">
        <f t="shared" si="199"/>
        <v>0.1188388745807001</v>
      </c>
      <c r="AT255" s="36">
        <f>-0.32*LN(AF255/$AF$254)+0.0042*(AI255-$AI$254)-0.000105*(AQ255-$AQ$254)-0.000315*(AR255-$AR$254)</f>
        <v>-0.0019947779753652006</v>
      </c>
      <c r="AU255" s="5">
        <f>$AU$254+5*LN(AF255/$AF$254)+0.125*(AP255-$AP$254)+0.0011*(AQ255-$AQ$254)+0.0033*(AR255-$AR$254)</f>
        <v>34.03116840586508</v>
      </c>
      <c r="AV255" s="4">
        <f aca="true" t="shared" si="204" ref="AV255:AV318">0.042*(AU255-$B$14)</f>
        <v>0.37930907304633343</v>
      </c>
      <c r="AW255" s="4">
        <f t="shared" si="200"/>
        <v>0.02669773957488749</v>
      </c>
      <c r="AX255" s="3">
        <f>AX254+($B$23/100)*AX254</f>
        <v>67.8</v>
      </c>
      <c r="AY255" s="36">
        <f aca="true" t="shared" si="205" ref="AY255:AY318">-0.4*(AX255/$AX$254)</f>
        <v>-0.4</v>
      </c>
      <c r="AZ255" s="36">
        <f t="shared" si="155"/>
        <v>-0.8000000000000002</v>
      </c>
      <c r="BA255" s="36">
        <f aca="true" t="shared" si="206" ref="BA255:BA318">-0.1*(AQ255/$AQ$254)</f>
        <v>-0.1</v>
      </c>
      <c r="BB255" s="6">
        <f t="shared" si="190"/>
        <v>1.2919783863755576</v>
      </c>
      <c r="BC255" s="6">
        <f t="shared" si="179"/>
        <v>0.03344154400932853</v>
      </c>
      <c r="BD255" s="4">
        <f t="shared" si="170"/>
        <v>0.7676966552363407</v>
      </c>
      <c r="BE255" s="4">
        <f>SUMPRODUCT(BC$4:BC255,$BD$103:BD$354)</f>
        <v>0.7191244368555209</v>
      </c>
      <c r="BF255" s="23">
        <f t="shared" si="171"/>
        <v>0.7191244368555209</v>
      </c>
      <c r="BG255" s="4">
        <f aca="true" t="shared" si="207" ref="BG255:BG318">BF255-$BF$254</f>
        <v>0.016483099063748896</v>
      </c>
    </row>
    <row r="256" spans="5:59" ht="15">
      <c r="E256" s="1">
        <f t="shared" si="172"/>
        <v>252</v>
      </c>
      <c r="F256" s="1">
        <f t="shared" si="157"/>
        <v>2002</v>
      </c>
      <c r="G256" s="3">
        <f aca="true" t="shared" si="208" ref="G256:G319">G255+($B$21/100)*G255</f>
        <v>3.13</v>
      </c>
      <c r="H256" s="3">
        <f aca="true" t="shared" si="209" ref="H256:H319">H255+($B$21/100)*H255</f>
        <v>0.43</v>
      </c>
      <c r="I256" s="5">
        <f t="shared" si="158"/>
        <v>0.7626374776046431</v>
      </c>
      <c r="J256" s="5">
        <f t="shared" si="173"/>
        <v>1.1321004693349457</v>
      </c>
      <c r="K256" s="4">
        <f t="shared" si="159"/>
        <v>1.6652620530604112</v>
      </c>
      <c r="L256" s="4">
        <f t="shared" si="160"/>
        <v>0.0012004132004762294</v>
      </c>
      <c r="M256" s="4">
        <f t="shared" si="140"/>
        <v>4.890599913047748</v>
      </c>
      <c r="N256" s="4">
        <f t="shared" si="161"/>
        <v>0.005870740693870417</v>
      </c>
      <c r="O256" s="4">
        <f>SUMPRODUCT($M$4:M256,L$102:$L$354)</f>
        <v>3.271520548093091</v>
      </c>
      <c r="P256" s="4">
        <f t="shared" si="162"/>
        <v>1.6190793649546573</v>
      </c>
      <c r="Q256" s="4">
        <f t="shared" si="174"/>
        <v>47.10661754390474</v>
      </c>
      <c r="R256" s="4">
        <f t="shared" si="175"/>
        <v>70.86989119266623</v>
      </c>
      <c r="S256" s="4">
        <f t="shared" si="181"/>
        <v>0.05579910949175983</v>
      </c>
      <c r="T256" s="5">
        <f t="shared" si="176"/>
        <v>361.70698055366637</v>
      </c>
      <c r="U256" s="4">
        <f t="shared" si="163"/>
        <v>371.963810805841</v>
      </c>
      <c r="V256" s="4">
        <f t="shared" si="141"/>
        <v>0.06317019804409332</v>
      </c>
      <c r="W256" s="4">
        <f>SUMPRODUCT($J$4:J256,$S$102:S$354)</f>
        <v>7.546608259879251</v>
      </c>
      <c r="X256" s="6">
        <f t="shared" si="192"/>
        <v>1.5194372552151831</v>
      </c>
      <c r="Y256" s="4">
        <f t="shared" si="164"/>
        <v>2002</v>
      </c>
      <c r="Z256" s="4">
        <f t="shared" si="177"/>
        <v>252</v>
      </c>
      <c r="AA256" s="3">
        <f aca="true" t="shared" si="210" ref="AA256:AA319">AA255+($B$22/100)*AA255</f>
        <v>114.11</v>
      </c>
      <c r="AB256" s="6">
        <f t="shared" si="166"/>
        <v>220.4453745</v>
      </c>
      <c r="AC256" s="4">
        <f>AF256/AD256</f>
        <v>211.24489018663138</v>
      </c>
      <c r="AD256" s="4">
        <f>1/AS256</f>
        <v>8.428139538834778</v>
      </c>
      <c r="AE256" s="4">
        <f>AB256-AC256</f>
        <v>9.200484313368634</v>
      </c>
      <c r="AF256" s="6">
        <f aca="true" t="shared" si="211" ref="AF256:AF319">AF255+AE255</f>
        <v>1780.4014113587587</v>
      </c>
      <c r="AG256" s="30">
        <f t="shared" si="182"/>
        <v>0.5382523915281917</v>
      </c>
      <c r="AH256" s="3">
        <f aca="true" t="shared" si="212" ref="AH256:AH319">AH255+($B$22/100)*AH255</f>
        <v>1.4553</v>
      </c>
      <c r="AI256" s="47">
        <f t="shared" si="167"/>
        <v>3.4303</v>
      </c>
      <c r="AJ256" s="4">
        <f t="shared" si="198"/>
        <v>2.6465607662037036</v>
      </c>
      <c r="AK256" s="4">
        <f>120*(AI256/$AI$254)^-0.055</f>
        <v>120</v>
      </c>
      <c r="AL256" s="4">
        <f t="shared" si="202"/>
        <v>0.7837392337962963</v>
      </c>
      <c r="AM256" s="4">
        <f aca="true" t="shared" si="213" ref="AM256:AM319">AL255+AM255</f>
        <v>317.5872919444444</v>
      </c>
      <c r="AN256" s="26">
        <f>0.12*(SQRT(AM256)-SQRT($B$13))</f>
        <v>0.15942677777098083</v>
      </c>
      <c r="AO256" s="4">
        <f t="shared" si="203"/>
        <v>0.996199205482974</v>
      </c>
      <c r="AP256" s="3">
        <f aca="true" t="shared" si="214" ref="AP256:AP319">AP255+($B$22/100)*AP255</f>
        <v>30</v>
      </c>
      <c r="AQ256" s="3">
        <f aca="true" t="shared" si="215" ref="AQ256:AQ319">AQ255+($B$22/100)*AQ255</f>
        <v>870</v>
      </c>
      <c r="AR256" s="21">
        <f aca="true" t="shared" si="216" ref="AR256:AR319">AR255+($B$22/100)*AR255</f>
        <v>138</v>
      </c>
      <c r="AS256" s="35">
        <f t="shared" si="199"/>
        <v>0.11865014756723567</v>
      </c>
      <c r="AT256" s="36">
        <f aca="true" t="shared" si="217" ref="AT256:AT319">-0.32*LN(AF256/$AF$254)+0.0042*(AI256-$AI$254)-0.000105*(AQ256-$AQ$254)-0.000315*(AR256-$AR$254)</f>
        <v>-0.003808035890979319</v>
      </c>
      <c r="AU256" s="4">
        <f aca="true" t="shared" si="218" ref="AU256:AU319">$AU$254+5*LN(AF256/$AF$254)+0.125*(AP256-$AP$254)+0.0011*(AQ256-$AQ$254)+0.0033*(AR256-$AR$254)</f>
        <v>34.05950056079655</v>
      </c>
      <c r="AV256" s="4">
        <f t="shared" si="204"/>
        <v>0.38049902355345516</v>
      </c>
      <c r="AW256" s="4">
        <f t="shared" si="200"/>
        <v>0.026912619576409585</v>
      </c>
      <c r="AX256" s="3">
        <f aca="true" t="shared" si="219" ref="AX256:AX319">AX255+($B$23/100)*AX255</f>
        <v>67.8</v>
      </c>
      <c r="AY256" s="36">
        <f t="shared" si="205"/>
        <v>-0.4</v>
      </c>
      <c r="AZ256" s="36">
        <f t="shared" si="155"/>
        <v>-0.8000000000000002</v>
      </c>
      <c r="BA256" s="36">
        <f t="shared" si="206"/>
        <v>-0.1</v>
      </c>
      <c r="BB256" s="6">
        <f t="shared" si="190"/>
        <v>1.32452806764422</v>
      </c>
      <c r="BC256" s="6">
        <f t="shared" si="179"/>
        <v>0.03254968126866231</v>
      </c>
      <c r="BD256" s="4">
        <f t="shared" si="170"/>
        <v>0.7671170039520404</v>
      </c>
      <c r="BE256" s="4">
        <f>SUMPRODUCT(BC$4:BC256,$BD$102:BD$354)</f>
        <v>0.7361669375195188</v>
      </c>
      <c r="BF256" s="23">
        <f t="shared" si="171"/>
        <v>0.7361669375195188</v>
      </c>
      <c r="BG256" s="4">
        <f t="shared" si="207"/>
        <v>0.033525599727746824</v>
      </c>
    </row>
    <row r="257" spans="5:59" ht="15">
      <c r="E257" s="1">
        <f t="shared" si="172"/>
        <v>253</v>
      </c>
      <c r="F257" s="1">
        <f t="shared" si="157"/>
        <v>2003</v>
      </c>
      <c r="G257" s="3">
        <f t="shared" si="208"/>
        <v>3.13</v>
      </c>
      <c r="H257" s="3">
        <f t="shared" si="209"/>
        <v>0.43</v>
      </c>
      <c r="I257" s="5">
        <f t="shared" si="158"/>
        <v>0.7683742959159839</v>
      </c>
      <c r="J257" s="5">
        <f t="shared" si="173"/>
        <v>1.1373676447917185</v>
      </c>
      <c r="K257" s="4">
        <f>G257+H257-I257-J257</f>
        <v>1.6542580592922977</v>
      </c>
      <c r="L257" s="4">
        <f t="shared" si="160"/>
        <v>0.001216595049077176</v>
      </c>
      <c r="M257" s="4">
        <f t="shared" si="140"/>
        <v>4.967520873170326</v>
      </c>
      <c r="N257" s="4">
        <f t="shared" si="161"/>
        <v>0.006043461300486548</v>
      </c>
      <c r="O257" s="4">
        <f>SUMPRODUCT($M$4:M257,L$101:$L$354)</f>
        <v>3.3362622429406916</v>
      </c>
      <c r="P257" s="4">
        <f t="shared" si="162"/>
        <v>1.6312586302296341</v>
      </c>
      <c r="Q257" s="4">
        <f t="shared" si="174"/>
        <v>47.8646755930463</v>
      </c>
      <c r="R257" s="4">
        <f>(1.558-1.399*$B$3*0.01)*Q257+(7.4706-0.20207*$B$3)*0.001*Q257^2-(1.2748-0.12015*$B$3)*0.00001*Q257^3+(2.4491-0.12639*$B$3)*0.0000001*Q257^4-(1.5468-0.15326*$B$3)*0.0000000001*Q257^5</f>
        <v>72.18498862528534</v>
      </c>
      <c r="S257" s="4">
        <f t="shared" si="181"/>
        <v>0.056058299204142084</v>
      </c>
      <c r="T257" s="5">
        <f t="shared" si="176"/>
        <v>363.3245219970884</v>
      </c>
      <c r="U257" s="4">
        <f t="shared" si="163"/>
        <v>373.6290728589014</v>
      </c>
      <c r="V257" s="4">
        <f t="shared" si="141"/>
        <v>0.06375889573684455</v>
      </c>
      <c r="W257" s="4">
        <f>SUMPRODUCT($J$4:J257,$S$101:S$354)</f>
        <v>7.664040382506203</v>
      </c>
      <c r="X257" s="6">
        <f t="shared" si="192"/>
        <v>1.5433354629187714</v>
      </c>
      <c r="Y257" s="4">
        <f t="shared" si="164"/>
        <v>2003</v>
      </c>
      <c r="Z257" s="4">
        <f t="shared" si="177"/>
        <v>253</v>
      </c>
      <c r="AA257" s="3">
        <f t="shared" si="210"/>
        <v>114.11</v>
      </c>
      <c r="AB257" s="6">
        <f t="shared" si="166"/>
        <v>220.4453745</v>
      </c>
      <c r="AC257" s="4">
        <f>AF257/AD257</f>
        <v>212.0298373183111</v>
      </c>
      <c r="AD257" s="4">
        <f>1/AS257</f>
        <v>8.440330466251673</v>
      </c>
      <c r="AE257" s="4">
        <f aca="true" t="shared" si="220" ref="AE257:AE272">AB257-AC257</f>
        <v>8.415537181688904</v>
      </c>
      <c r="AF257" s="6">
        <f t="shared" si="211"/>
        <v>1789.6018956721273</v>
      </c>
      <c r="AG257" s="30">
        <f>0.036*(SQRT(AF257)-SQRT($B$12))</f>
        <v>0.5421721945510569</v>
      </c>
      <c r="AH257" s="3">
        <f t="shared" si="212"/>
        <v>1.4553</v>
      </c>
      <c r="AI257" s="47">
        <f t="shared" si="167"/>
        <v>3.4303</v>
      </c>
      <c r="AJ257" s="4">
        <f t="shared" si="198"/>
        <v>2.653091926485339</v>
      </c>
      <c r="AK257" s="4">
        <f t="shared" si="201"/>
        <v>120</v>
      </c>
      <c r="AL257" s="4">
        <f t="shared" si="202"/>
        <v>0.7772080735146609</v>
      </c>
      <c r="AM257" s="4">
        <f t="shared" si="213"/>
        <v>318.3710311782407</v>
      </c>
      <c r="AN257" s="26">
        <f t="shared" si="168"/>
        <v>0.16206385950687008</v>
      </c>
      <c r="AO257" s="4">
        <f t="shared" si="203"/>
        <v>0.9945574401298484</v>
      </c>
      <c r="AP257" s="3">
        <f>AP256+($B$22/100)*AP256</f>
        <v>30</v>
      </c>
      <c r="AQ257" s="3">
        <f t="shared" si="215"/>
        <v>870</v>
      </c>
      <c r="AR257" s="21">
        <f t="shared" si="216"/>
        <v>138</v>
      </c>
      <c r="AS257" s="35">
        <f t="shared" si="199"/>
        <v>0.11847877331325596</v>
      </c>
      <c r="AT257" s="36">
        <f t="shared" si="217"/>
        <v>-0.005457424558291584</v>
      </c>
      <c r="AU257" s="4">
        <f t="shared" si="218"/>
        <v>34.08527225872331</v>
      </c>
      <c r="AV257" s="4">
        <f t="shared" si="204"/>
        <v>0.3815814348663789</v>
      </c>
      <c r="AW257" s="4">
        <f t="shared" si="200"/>
        <v>0.027108609727552847</v>
      </c>
      <c r="AX257" s="3">
        <f t="shared" si="219"/>
        <v>67.8</v>
      </c>
      <c r="AY257" s="36">
        <f t="shared" si="205"/>
        <v>-0.4</v>
      </c>
      <c r="AZ257" s="36">
        <f t="shared" si="155"/>
        <v>-0.8000000000000002</v>
      </c>
      <c r="BA257" s="36">
        <f t="shared" si="206"/>
        <v>-0.1</v>
      </c>
      <c r="BB257" s="6">
        <f t="shared" si="190"/>
        <v>1.35626156157063</v>
      </c>
      <c r="BC257" s="6">
        <f t="shared" si="179"/>
        <v>0.031733493926410006</v>
      </c>
      <c r="BD257" s="4">
        <f t="shared" si="170"/>
        <v>0.7665323598618753</v>
      </c>
      <c r="BE257" s="4">
        <f>SUMPRODUCT(BC$4:BC257,$BD$101:BD$354)</f>
        <v>0.7536895546588259</v>
      </c>
      <c r="BF257" s="23">
        <f t="shared" si="171"/>
        <v>0.7536895546588259</v>
      </c>
      <c r="BG257" s="4">
        <f t="shared" si="207"/>
        <v>0.051048216867053964</v>
      </c>
    </row>
    <row r="258" spans="5:59" ht="15">
      <c r="E258" s="1">
        <f t="shared" si="172"/>
        <v>254</v>
      </c>
      <c r="F258" s="1">
        <f t="shared" si="157"/>
        <v>2004</v>
      </c>
      <c r="G258" s="3">
        <f t="shared" si="208"/>
        <v>3.13</v>
      </c>
      <c r="H258" s="3">
        <f t="shared" si="209"/>
        <v>0.43</v>
      </c>
      <c r="I258" s="5">
        <f t="shared" si="158"/>
        <v>0.7737703536854168</v>
      </c>
      <c r="J258" s="5">
        <f t="shared" si="173"/>
        <v>1.1422884986655362</v>
      </c>
      <c r="K258" s="4">
        <f t="shared" si="159"/>
        <v>1.643941147649047</v>
      </c>
      <c r="L258" s="4">
        <f t="shared" si="160"/>
        <v>0.0012331506364621709</v>
      </c>
      <c r="M258" s="4">
        <f>60*$B$8*LN(U258/$U$4)</f>
        <v>5.0435948438168134</v>
      </c>
      <c r="N258" s="4">
        <f t="shared" si="161"/>
        <v>0.006219512191710027</v>
      </c>
      <c r="O258" s="4">
        <f>SUMPRODUCT($M$4:M258,L$100:$L$354)</f>
        <v>3.4008803829426735</v>
      </c>
      <c r="P258" s="4">
        <f t="shared" si="162"/>
        <v>1.64271446087414</v>
      </c>
      <c r="Q258" s="4">
        <f t="shared" si="174"/>
        <v>48.60949369677967</v>
      </c>
      <c r="R258" s="4">
        <f t="shared" si="175"/>
        <v>73.48320984473482</v>
      </c>
      <c r="S258" s="4">
        <f t="shared" si="181"/>
        <v>0.056321278422997806</v>
      </c>
      <c r="T258" s="5">
        <f>($T$4+R258)*EXP(0.0423*BF257)</f>
        <v>364.93419712028395</v>
      </c>
      <c r="U258" s="4">
        <f t="shared" si="163"/>
        <v>375.2833309181937</v>
      </c>
      <c r="V258" s="4">
        <f t="shared" si="141"/>
        <v>0.06433514857272982</v>
      </c>
      <c r="W258" s="4">
        <f>SUMPRODUCT($J$4:J258,$S$100:S$354)</f>
        <v>7.779830953359407</v>
      </c>
      <c r="X258" s="6">
        <f t="shared" si="192"/>
        <v>1.5669705234854792</v>
      </c>
      <c r="Y258" s="4">
        <f t="shared" si="164"/>
        <v>2004</v>
      </c>
      <c r="Z258" s="4">
        <f t="shared" si="177"/>
        <v>254</v>
      </c>
      <c r="AA258" s="3">
        <f t="shared" si="210"/>
        <v>114.11</v>
      </c>
      <c r="AB258" s="6">
        <f t="shared" si="166"/>
        <v>220.4453745</v>
      </c>
      <c r="AC258" s="4">
        <f>AF258/AD258</f>
        <v>212.7468801543463</v>
      </c>
      <c r="AD258" s="4">
        <f>1/AS258</f>
        <v>8.451439718172919</v>
      </c>
      <c r="AE258" s="4">
        <f t="shared" si="220"/>
        <v>7.698494345653728</v>
      </c>
      <c r="AF258" s="6">
        <f t="shared" si="211"/>
        <v>1798.0174328538162</v>
      </c>
      <c r="AG258" s="30">
        <f t="shared" si="182"/>
        <v>0.5457487623918672</v>
      </c>
      <c r="AH258" s="3">
        <f t="shared" si="212"/>
        <v>1.4553</v>
      </c>
      <c r="AI258" s="47">
        <f>AH258+$B$17</f>
        <v>3.4303</v>
      </c>
      <c r="AJ258" s="4">
        <f t="shared" si="198"/>
        <v>2.6595686604312947</v>
      </c>
      <c r="AK258" s="4">
        <f t="shared" si="201"/>
        <v>120</v>
      </c>
      <c r="AL258" s="4">
        <f t="shared" si="202"/>
        <v>0.7707313395687052</v>
      </c>
      <c r="AM258" s="4">
        <f t="shared" si="213"/>
        <v>319.14823925175534</v>
      </c>
      <c r="AN258" s="26">
        <f t="shared" si="168"/>
        <v>0.16467576208352683</v>
      </c>
      <c r="AO258" s="4">
        <f t="shared" si="203"/>
        <v>0.9930654698390785</v>
      </c>
      <c r="AP258" s="3">
        <f t="shared" si="214"/>
        <v>30</v>
      </c>
      <c r="AQ258" s="3">
        <f>AQ257+($B$22/100)*AQ257</f>
        <v>870</v>
      </c>
      <c r="AR258" s="21">
        <f t="shared" si="216"/>
        <v>138</v>
      </c>
      <c r="AS258" s="35">
        <f t="shared" si="199"/>
        <v>0.11832303528707956</v>
      </c>
      <c r="AT258" s="36">
        <f t="shared" si="217"/>
        <v>-0.006958685751752285</v>
      </c>
      <c r="AU258" s="4">
        <f t="shared" si="218"/>
        <v>34.10872946487113</v>
      </c>
      <c r="AV258" s="4">
        <f t="shared" si="204"/>
        <v>0.3825666375245876</v>
      </c>
      <c r="AW258" s="4">
        <f t="shared" si="200"/>
        <v>0.027287438119593364</v>
      </c>
      <c r="AX258" s="3">
        <f>AX257+($B$23/100)*AX257</f>
        <v>67.8</v>
      </c>
      <c r="AY258" s="36">
        <f t="shared" si="205"/>
        <v>-0.4</v>
      </c>
      <c r="AZ258" s="36">
        <f t="shared" si="155"/>
        <v>-0.8000000000000002</v>
      </c>
      <c r="BA258" s="36">
        <f t="shared" si="206"/>
        <v>-0.1</v>
      </c>
      <c r="BB258" s="6">
        <f t="shared" si="190"/>
        <v>1.387249123605054</v>
      </c>
      <c r="BC258" s="6">
        <f t="shared" si="179"/>
        <v>0.030987562034423988</v>
      </c>
      <c r="BD258" s="4">
        <f t="shared" si="170"/>
        <v>0.7659424474049641</v>
      </c>
      <c r="BE258" s="4">
        <f>SUMPRODUCT(BC$4:BC258,$BD$100:BD$354)</f>
        <v>0.7716219356232225</v>
      </c>
      <c r="BF258" s="23">
        <f t="shared" si="171"/>
        <v>0.7716219356232225</v>
      </c>
      <c r="BG258" s="4">
        <f t="shared" si="207"/>
        <v>0.0689805978314505</v>
      </c>
    </row>
    <row r="259" spans="5:59" ht="15">
      <c r="E259" s="1">
        <f t="shared" si="172"/>
        <v>255</v>
      </c>
      <c r="F259" s="1">
        <f t="shared" si="157"/>
        <v>2005</v>
      </c>
      <c r="G259" s="3">
        <f t="shared" si="208"/>
        <v>3.13</v>
      </c>
      <c r="H259" s="3">
        <f t="shared" si="209"/>
        <v>0.43</v>
      </c>
      <c r="I259" s="5">
        <f t="shared" si="158"/>
        <v>0.7788623325927512</v>
      </c>
      <c r="J259" s="5">
        <f t="shared" si="173"/>
        <v>1.1465189918660295</v>
      </c>
      <c r="K259" s="4">
        <f t="shared" si="159"/>
        <v>1.6346186755412193</v>
      </c>
      <c r="L259" s="4">
        <f t="shared" si="160"/>
        <v>0.0012500945425328416</v>
      </c>
      <c r="M259" s="4">
        <f t="shared" si="140"/>
        <v>5.118862891145005</v>
      </c>
      <c r="N259" s="4">
        <f t="shared" si="161"/>
        <v>0.0063990625641942534</v>
      </c>
      <c r="O259" s="4">
        <f>SUMPRODUCT($M$4:M259,L$99:$L$354)</f>
        <v>3.465338159050594</v>
      </c>
      <c r="P259" s="4">
        <f t="shared" si="162"/>
        <v>1.6535247320944109</v>
      </c>
      <c r="Q259" s="4">
        <f>($B$5/($B$4*$B$6))*W258</f>
        <v>49.343900190367954</v>
      </c>
      <c r="R259" s="4">
        <f t="shared" si="175"/>
        <v>74.76923279963475</v>
      </c>
      <c r="S259" s="4">
        <f t="shared" si="181"/>
        <v>0.05658815515681065</v>
      </c>
      <c r="T259" s="5">
        <f t="shared" si="176"/>
        <v>366.53980999953654</v>
      </c>
      <c r="U259" s="4">
        <f t="shared" si="163"/>
        <v>376.92727206584277</v>
      </c>
      <c r="V259" s="4">
        <f t="shared" si="141"/>
        <v>0.064879394601945</v>
      </c>
      <c r="W259" s="4">
        <f>SUMPRODUCT($J$4:J259,$S$99:S$354)</f>
        <v>7.8937186713484095</v>
      </c>
      <c r="X259" s="6">
        <f t="shared" si="192"/>
        <v>1.5903551955647954</v>
      </c>
      <c r="Y259" s="4">
        <f t="shared" si="164"/>
        <v>2005</v>
      </c>
      <c r="Z259" s="4">
        <f t="shared" si="177"/>
        <v>255</v>
      </c>
      <c r="AA259" s="3">
        <f t="shared" si="210"/>
        <v>114.11</v>
      </c>
      <c r="AB259" s="6">
        <f t="shared" si="166"/>
        <v>220.4453745</v>
      </c>
      <c r="AC259" s="4">
        <f aca="true" t="shared" si="221" ref="AC259:AC322">AF259/AD259</f>
        <v>213.4020493320673</v>
      </c>
      <c r="AD259" s="4">
        <f aca="true" t="shared" si="222" ref="AD259:AD322">1/AS259</f>
        <v>8.461567884897207</v>
      </c>
      <c r="AE259" s="4">
        <f t="shared" si="220"/>
        <v>7.043325167932721</v>
      </c>
      <c r="AF259" s="6">
        <f t="shared" si="211"/>
        <v>1805.71592719947</v>
      </c>
      <c r="AG259" s="30">
        <f t="shared" si="182"/>
        <v>0.5490132665097837</v>
      </c>
      <c r="AH259" s="3">
        <f t="shared" si="212"/>
        <v>1.4553</v>
      </c>
      <c r="AI259" s="47">
        <f t="shared" si="167"/>
        <v>3.4303</v>
      </c>
      <c r="AJ259" s="4">
        <f aca="true" t="shared" si="223" ref="AJ259:AJ322">AM259/AK259</f>
        <v>2.6659914215943674</v>
      </c>
      <c r="AK259" s="4">
        <f t="shared" si="201"/>
        <v>120</v>
      </c>
      <c r="AL259" s="4">
        <f t="shared" si="202"/>
        <v>0.7643085784056325</v>
      </c>
      <c r="AM259" s="4">
        <f t="shared" si="213"/>
        <v>319.91897059132407</v>
      </c>
      <c r="AN259" s="26">
        <f t="shared" si="168"/>
        <v>0.16726275999729906</v>
      </c>
      <c r="AO259" s="4">
        <f t="shared" si="203"/>
        <v>0.9917086730416969</v>
      </c>
      <c r="AP259" s="3">
        <f t="shared" si="214"/>
        <v>30</v>
      </c>
      <c r="AQ259" s="3">
        <f t="shared" si="215"/>
        <v>870</v>
      </c>
      <c r="AR259" s="21">
        <f t="shared" si="216"/>
        <v>138</v>
      </c>
      <c r="AS259" s="35">
        <f t="shared" si="199"/>
        <v>0.11818140722889776</v>
      </c>
      <c r="AT259" s="36">
        <f t="shared" si="217"/>
        <v>-0.008325891197870994</v>
      </c>
      <c r="AU259" s="4">
        <f t="shared" si="218"/>
        <v>34.130092049966734</v>
      </c>
      <c r="AV259" s="4">
        <f t="shared" si="204"/>
        <v>0.38346386609860283</v>
      </c>
      <c r="AW259" s="4">
        <f t="shared" si="200"/>
        <v>0.027450663325489184</v>
      </c>
      <c r="AX259" s="3">
        <f t="shared" si="219"/>
        <v>67.8</v>
      </c>
      <c r="AY259" s="36">
        <f t="shared" si="205"/>
        <v>-0.4</v>
      </c>
      <c r="AZ259" s="36">
        <f t="shared" si="155"/>
        <v>-0.8000000000000002</v>
      </c>
      <c r="BA259" s="36">
        <f>-0.1*(AQ259/$AQ$254)</f>
        <v>-0.1</v>
      </c>
      <c r="BB259" s="6">
        <f t="shared" si="190"/>
        <v>1.41754575149597</v>
      </c>
      <c r="BC259" s="6">
        <f t="shared" si="179"/>
        <v>0.030296627890916028</v>
      </c>
      <c r="BD259" s="4">
        <f t="shared" si="170"/>
        <v>0.7653469713941046</v>
      </c>
      <c r="BE259" s="4">
        <f>SUMPRODUCT(BC$4:BC259,$BD$99:BD$354)</f>
        <v>0.7899018025634947</v>
      </c>
      <c r="BF259" s="23">
        <f>BE259*$B$7</f>
        <v>0.7899018025634947</v>
      </c>
      <c r="BG259" s="4">
        <f t="shared" si="207"/>
        <v>0.08726046477172278</v>
      </c>
    </row>
    <row r="260" spans="5:59" ht="15">
      <c r="E260" s="1">
        <f t="shared" si="172"/>
        <v>256</v>
      </c>
      <c r="F260" s="1">
        <f t="shared" si="157"/>
        <v>2006</v>
      </c>
      <c r="G260" s="3">
        <f t="shared" si="208"/>
        <v>3.13</v>
      </c>
      <c r="H260" s="3">
        <f t="shared" si="209"/>
        <v>0.43</v>
      </c>
      <c r="I260" s="5">
        <f t="shared" si="158"/>
        <v>0.7836897135593982</v>
      </c>
      <c r="J260" s="5">
        <f aca="true" t="shared" si="224" ref="J260:J268">(((U260-T260)/9.06)+((U259-T259)/9.06))/2</f>
        <v>1.1485733846034394</v>
      </c>
      <c r="K260" s="4">
        <f t="shared" si="159"/>
        <v>1.6277369018371626</v>
      </c>
      <c r="L260" s="4">
        <f t="shared" si="160"/>
        <v>0.0012674420486675543</v>
      </c>
      <c r="M260" s="4">
        <f aca="true" t="shared" si="225" ref="M260:M323">60*$B$8*LN(U260/$U$4)</f>
        <v>5.193379320772251</v>
      </c>
      <c r="N260" s="4">
        <f t="shared" si="161"/>
        <v>0.006582307325827293</v>
      </c>
      <c r="O260" s="4">
        <f>SUMPRODUCT($M$4:M260,L$98:$L$354)</f>
        <v>3.529606058885648</v>
      </c>
      <c r="P260" s="4">
        <f t="shared" si="162"/>
        <v>1.6637732618866026</v>
      </c>
      <c r="Q260" s="4">
        <f t="shared" si="174"/>
        <v>50.066237760817536</v>
      </c>
      <c r="R260" s="4">
        <f t="shared" si="175"/>
        <v>76.03991910672202</v>
      </c>
      <c r="S260" s="4">
        <f t="shared" si="181"/>
        <v>0.05685904212506876</v>
      </c>
      <c r="T260" s="5">
        <f t="shared" si="176"/>
        <v>368.1372030786759</v>
      </c>
      <c r="U260" s="4">
        <f t="shared" si="163"/>
        <v>378.561890741384</v>
      </c>
      <c r="V260" s="4">
        <f aca="true" t="shared" si="226" ref="V260:V323">J260*S260</f>
        <v>0.06530678245889976</v>
      </c>
      <c r="W260" s="4">
        <f>SUMPRODUCT($J$4:J260,$S$98:S$354)</f>
        <v>8.004110386165008</v>
      </c>
      <c r="X260" s="6">
        <f t="shared" si="192"/>
        <v>1.613506351111007</v>
      </c>
      <c r="Y260" s="4">
        <f t="shared" si="164"/>
        <v>2006</v>
      </c>
      <c r="Z260" s="4">
        <f t="shared" si="177"/>
        <v>256</v>
      </c>
      <c r="AA260" s="3">
        <f>AA259+($B$22/100)*AA259</f>
        <v>114.11</v>
      </c>
      <c r="AB260" s="6">
        <f t="shared" si="166"/>
        <v>220.4453745</v>
      </c>
      <c r="AC260" s="4">
        <f t="shared" si="221"/>
        <v>214.00081355260713</v>
      </c>
      <c r="AD260" s="4">
        <f t="shared" si="222"/>
        <v>8.470805424867125</v>
      </c>
      <c r="AE260" s="4">
        <f t="shared" si="220"/>
        <v>6.444560947392887</v>
      </c>
      <c r="AF260" s="6">
        <f t="shared" si="211"/>
        <v>1812.7592523674025</v>
      </c>
      <c r="AG260" s="30">
        <f t="shared" si="182"/>
        <v>0.5519938593128759</v>
      </c>
      <c r="AH260" s="3">
        <f t="shared" si="212"/>
        <v>1.4553</v>
      </c>
      <c r="AI260" s="47">
        <f t="shared" si="167"/>
        <v>3.4303</v>
      </c>
      <c r="AJ260" s="4">
        <f t="shared" si="223"/>
        <v>2.6723606597477474</v>
      </c>
      <c r="AK260" s="4">
        <f t="shared" si="201"/>
        <v>120</v>
      </c>
      <c r="AL260" s="4">
        <f t="shared" si="202"/>
        <v>0.7579393402522525</v>
      </c>
      <c r="AM260" s="4">
        <f t="shared" si="213"/>
        <v>320.6832791697297</v>
      </c>
      <c r="AN260" s="26">
        <f t="shared" si="168"/>
        <v>0.16982512403078318</v>
      </c>
      <c r="AO260" s="4">
        <f t="shared" si="203"/>
        <v>0.9904740161340517</v>
      </c>
      <c r="AP260" s="3">
        <f t="shared" si="214"/>
        <v>30</v>
      </c>
      <c r="AQ260" s="3">
        <f t="shared" si="215"/>
        <v>870</v>
      </c>
      <c r="AR260" s="21">
        <f t="shared" si="216"/>
        <v>138</v>
      </c>
      <c r="AS260" s="35">
        <f aca="true" t="shared" si="227" ref="AS260:AS323">AO260/9.58+1/68.2</f>
        <v>0.11805252863728553</v>
      </c>
      <c r="AT260" s="36">
        <f t="shared" si="217"/>
        <v>-0.009571646267834924</v>
      </c>
      <c r="AU260" s="4">
        <f t="shared" si="218"/>
        <v>34.149556972934924</v>
      </c>
      <c r="AV260" s="4">
        <f t="shared" si="204"/>
        <v>0.38428139286326685</v>
      </c>
      <c r="AW260" s="4">
        <f t="shared" si="200"/>
        <v>0.0275996929656438</v>
      </c>
      <c r="AX260" s="3">
        <f t="shared" si="219"/>
        <v>67.8</v>
      </c>
      <c r="AY260" s="36">
        <f t="shared" si="205"/>
        <v>-0.4</v>
      </c>
      <c r="AZ260" s="36">
        <f aca="true" t="shared" si="228" ref="AZ260:AZ323">-0.8*LN(($B$15+AX260)/$B$15)*(LN(($B$15+$AX$254)/$B$15))^-1</f>
        <v>-0.8000000000000002</v>
      </c>
      <c r="BA260" s="36">
        <f t="shared" si="206"/>
        <v>-0.1</v>
      </c>
      <c r="BB260" s="6">
        <f t="shared" si="190"/>
        <v>1.4472064202835768</v>
      </c>
      <c r="BC260" s="6">
        <f t="shared" si="179"/>
        <v>0.02966066878760687</v>
      </c>
      <c r="BD260" s="4">
        <f t="shared" si="170"/>
        <v>0.764745615604827</v>
      </c>
      <c r="BE260" s="4">
        <f>SUMPRODUCT(BC$4:BC260,$BD$98:BD$354)</f>
        <v>0.8084736769850556</v>
      </c>
      <c r="BF260" s="23">
        <f>BE260*$B$7</f>
        <v>0.8084736769850556</v>
      </c>
      <c r="BG260" s="4">
        <f t="shared" si="207"/>
        <v>0.10583233919328361</v>
      </c>
    </row>
    <row r="261" spans="5:59" ht="15">
      <c r="E261" s="1">
        <f t="shared" si="172"/>
        <v>257</v>
      </c>
      <c r="F261" s="1">
        <f aca="true" t="shared" si="229" ref="F261:F324">1750+E261</f>
        <v>2007</v>
      </c>
      <c r="G261" s="3">
        <f t="shared" si="208"/>
        <v>3.13</v>
      </c>
      <c r="H261" s="3">
        <f t="shared" si="209"/>
        <v>0.43</v>
      </c>
      <c r="I261" s="5">
        <f aca="true" t="shared" si="230" ref="I261:I324">P261/2.123</f>
        <v>0.7883185316234741</v>
      </c>
      <c r="J261" s="5">
        <f t="shared" si="224"/>
        <v>1.1538383862609578</v>
      </c>
      <c r="K261" s="4">
        <f aca="true" t="shared" si="231" ref="K261:K324">G261+H261-I261-J261</f>
        <v>1.6178430821155683</v>
      </c>
      <c r="L261" s="4">
        <f aca="true" t="shared" si="232" ref="L261:L324">0.70211*EXP(-0.35*(350-E261))+0.013414*EXP(-(350-E261)/20)-0.71846*EXP(-55*(350-E261)/120)+0.0029323*EXP(-(350-E261)/100)</f>
        <v>0.0012852091732240864</v>
      </c>
      <c r="M261" s="4">
        <f t="shared" si="225"/>
        <v>5.267262988271527</v>
      </c>
      <c r="N261" s="4">
        <f aca="true" t="shared" si="233" ref="N261:N324">L261*M261</f>
        <v>0.00676953471031028</v>
      </c>
      <c r="O261" s="4">
        <f>SUMPRODUCT($M$4:M261,L$97:$L$354)</f>
        <v>3.5936627456348917</v>
      </c>
      <c r="P261" s="4">
        <f aca="true" t="shared" si="234" ref="P261:P324">M261-O261</f>
        <v>1.6736002426366356</v>
      </c>
      <c r="Q261" s="4">
        <f>($B$5/($B$4*$B$6))*W260</f>
        <v>50.76640178628414</v>
      </c>
      <c r="R261" s="4">
        <f t="shared" si="175"/>
        <v>77.27711904069763</v>
      </c>
      <c r="S261" s="4">
        <f t="shared" si="181"/>
        <v>0.05713405700136999</v>
      </c>
      <c r="T261" s="5">
        <f t="shared" si="176"/>
        <v>369.7067637468807</v>
      </c>
      <c r="U261" s="4">
        <f aca="true" t="shared" si="235" ref="U261:U324">U260+K260</f>
        <v>380.1896276432212</v>
      </c>
      <c r="V261" s="4">
        <f t="shared" si="226"/>
        <v>0.06592346813100233</v>
      </c>
      <c r="W261" s="4">
        <f>SUMPRODUCT($J$4:J261,$S$97:S$354)</f>
        <v>8.115675719014803</v>
      </c>
      <c r="X261" s="6">
        <f t="shared" si="192"/>
        <v>1.6364609167974837</v>
      </c>
      <c r="Y261" s="4">
        <f aca="true" t="shared" si="236" ref="Y261:Y324">1750+Z261</f>
        <v>2007</v>
      </c>
      <c r="Z261" s="4">
        <f t="shared" si="177"/>
        <v>257</v>
      </c>
      <c r="AA261" s="3">
        <f t="shared" si="210"/>
        <v>114.11</v>
      </c>
      <c r="AB261" s="6">
        <f aca="true" t="shared" si="237" ref="AB261:AB324">AA261+$B$16</f>
        <v>220.4453745</v>
      </c>
      <c r="AC261" s="4">
        <f t="shared" si="221"/>
        <v>214.5481364078976</v>
      </c>
      <c r="AD261" s="4">
        <f t="shared" si="222"/>
        <v>8.479233815651217</v>
      </c>
      <c r="AE261" s="4">
        <f t="shared" si="220"/>
        <v>5.897238092102413</v>
      </c>
      <c r="AF261" s="6">
        <f t="shared" si="211"/>
        <v>1819.2038133147953</v>
      </c>
      <c r="AG261" s="30">
        <f t="shared" si="182"/>
        <v>0.5547159983108251</v>
      </c>
      <c r="AH261" s="3">
        <f t="shared" si="212"/>
        <v>1.4553</v>
      </c>
      <c r="AI261" s="47">
        <f aca="true" t="shared" si="238" ref="AI261:AI324">AH261+$B$17</f>
        <v>3.4303</v>
      </c>
      <c r="AJ261" s="4">
        <f t="shared" si="223"/>
        <v>2.6786768209165164</v>
      </c>
      <c r="AK261" s="4">
        <f t="shared" si="201"/>
        <v>120</v>
      </c>
      <c r="AL261" s="4">
        <f t="shared" si="202"/>
        <v>0.7516231790834835</v>
      </c>
      <c r="AM261" s="4">
        <f t="shared" si="213"/>
        <v>321.441218509982</v>
      </c>
      <c r="AN261" s="26">
        <f aca="true" t="shared" si="239" ref="AN261:AN324">0.12*(SQRT(AM261)-SQRT($B$13))</f>
        <v>0.17236312131897677</v>
      </c>
      <c r="AO261" s="4">
        <f aca="true" t="shared" si="240" ref="AO261:AO324">EXP(AT261)</f>
        <v>0.989349854251429</v>
      </c>
      <c r="AP261" s="3">
        <f t="shared" si="214"/>
        <v>30</v>
      </c>
      <c r="AQ261" s="3">
        <f t="shared" si="215"/>
        <v>870</v>
      </c>
      <c r="AR261" s="21">
        <f t="shared" si="216"/>
        <v>138</v>
      </c>
      <c r="AS261" s="35">
        <f t="shared" si="227"/>
        <v>0.11793518397312867</v>
      </c>
      <c r="AT261" s="36">
        <f t="shared" si="217"/>
        <v>-0.01070726446120135</v>
      </c>
      <c r="AU261" s="4">
        <f t="shared" si="218"/>
        <v>34.16730100720627</v>
      </c>
      <c r="AV261" s="4">
        <f t="shared" si="204"/>
        <v>0.38502664230266337</v>
      </c>
      <c r="AW261" s="4">
        <f t="shared" si="200"/>
        <v>0.027735799915541256</v>
      </c>
      <c r="AX261" s="3">
        <f t="shared" si="219"/>
        <v>67.8</v>
      </c>
      <c r="AY261" s="36">
        <f t="shared" si="205"/>
        <v>-0.4</v>
      </c>
      <c r="AZ261" s="36">
        <f t="shared" si="228"/>
        <v>-0.8000000000000002</v>
      </c>
      <c r="BA261" s="36">
        <f t="shared" si="206"/>
        <v>-0.1</v>
      </c>
      <c r="BB261" s="6">
        <f t="shared" si="190"/>
        <v>1.47630247864549</v>
      </c>
      <c r="BC261" s="6">
        <f t="shared" si="179"/>
        <v>0.02909605836191309</v>
      </c>
      <c r="BD261" s="4">
        <f aca="true" t="shared" si="241" ref="BD261:BD324">0.29*(1-EXP(-(350-E261)/440))+0.71*(1-EXP(-(350-E261)/14.4))</f>
        <v>0.764138041262985</v>
      </c>
      <c r="BE261" s="4">
        <f>SUMPRODUCT(BC$4:BC261,$BD$97:BD$354)</f>
        <v>0.8272884249214741</v>
      </c>
      <c r="BF261" s="23">
        <f aca="true" t="shared" si="242" ref="BF261:BF324">BE261*$B$7</f>
        <v>0.8272884249214741</v>
      </c>
      <c r="BG261" s="4">
        <f>BF261-$BF$254</f>
        <v>0.12464708712970218</v>
      </c>
    </row>
    <row r="262" spans="5:59" ht="15">
      <c r="E262" s="1">
        <f aca="true" t="shared" si="243" ref="E262:E325">E261+1</f>
        <v>258</v>
      </c>
      <c r="F262" s="1">
        <f t="shared" si="229"/>
        <v>2008</v>
      </c>
      <c r="G262" s="3">
        <f t="shared" si="208"/>
        <v>3.13</v>
      </c>
      <c r="H262" s="3">
        <f t="shared" si="209"/>
        <v>0.43</v>
      </c>
      <c r="I262" s="5">
        <f t="shared" si="230"/>
        <v>0.7926926416428276</v>
      </c>
      <c r="J262" s="5">
        <f t="shared" si="224"/>
        <v>1.1583103579269158</v>
      </c>
      <c r="K262" s="4">
        <f t="shared" si="231"/>
        <v>1.6089970004302567</v>
      </c>
      <c r="L262" s="4">
        <f t="shared" si="232"/>
        <v>0.0013034127088579152</v>
      </c>
      <c r="M262" s="4">
        <f t="shared" si="225"/>
        <v>5.340384788328923</v>
      </c>
      <c r="N262" s="4">
        <f t="shared" si="233"/>
        <v>0.006960725403299406</v>
      </c>
      <c r="O262" s="4">
        <f>SUMPRODUCT($M$4:M262,L$96:$L$354)</f>
        <v>3.6574983101212</v>
      </c>
      <c r="P262" s="4">
        <f t="shared" si="234"/>
        <v>1.682886478207723</v>
      </c>
      <c r="Q262" s="4">
        <f aca="true" t="shared" si="244" ref="Q262:Q325">($B$5/($B$4*$B$6))*W261</f>
        <v>51.474009532756874</v>
      </c>
      <c r="R262" s="4">
        <f aca="true" t="shared" si="245" ref="R262:R325">(1.558-1.399*$B$3*0.01)*Q262+(7.4706-0.20207*$B$3)*0.001*Q262^2-(1.2748-0.12015*$B$3)*0.00001*Q262^3+(2.4491-0.12639*$B$3)*0.0000001*Q262^4-(1.5468-0.15326*$B$3)*0.0000000001*Q262^5</f>
        <v>78.53302526802476</v>
      </c>
      <c r="S262" s="4">
        <f t="shared" si="181"/>
        <v>0.05741332266977221</v>
      </c>
      <c r="T262" s="5">
        <f aca="true" t="shared" si="246" ref="T262:T325">($T$4+R262)*EXP(0.0423*BF261)</f>
        <v>371.30175093604146</v>
      </c>
      <c r="U262" s="4">
        <f t="shared" si="235"/>
        <v>381.8074707253367</v>
      </c>
      <c r="V262" s="4">
        <f t="shared" si="226"/>
        <v>0.06650244633139736</v>
      </c>
      <c r="W262" s="4">
        <f>SUMPRODUCT($J$4:J262,$S$96:S$354)</f>
        <v>8.226082540334449</v>
      </c>
      <c r="X262" s="6">
        <f t="shared" si="192"/>
        <v>1.659178781507534</v>
      </c>
      <c r="Y262" s="4">
        <f t="shared" si="236"/>
        <v>2008</v>
      </c>
      <c r="Z262" s="4">
        <f aca="true" t="shared" si="247" ref="Z262:Z325">Z261+1</f>
        <v>258</v>
      </c>
      <c r="AA262" s="3">
        <f t="shared" si="210"/>
        <v>114.11</v>
      </c>
      <c r="AB262" s="6">
        <f t="shared" si="237"/>
        <v>220.4453745</v>
      </c>
      <c r="AC262" s="4">
        <f t="shared" si="221"/>
        <v>215.04852670588292</v>
      </c>
      <c r="AD262" s="4">
        <f t="shared" si="222"/>
        <v>8.48692655264292</v>
      </c>
      <c r="AE262" s="4">
        <f t="shared" si="220"/>
        <v>5.396847794117093</v>
      </c>
      <c r="AF262" s="6">
        <f t="shared" si="211"/>
        <v>1825.1010514068978</v>
      </c>
      <c r="AG262" s="30">
        <f t="shared" si="182"/>
        <v>0.5572027301608058</v>
      </c>
      <c r="AH262" s="3">
        <f t="shared" si="212"/>
        <v>1.4553</v>
      </c>
      <c r="AI262" s="47">
        <f t="shared" si="238"/>
        <v>3.4303</v>
      </c>
      <c r="AJ262" s="4">
        <f t="shared" si="223"/>
        <v>2.6849403474088787</v>
      </c>
      <c r="AK262" s="4">
        <f t="shared" si="201"/>
        <v>120</v>
      </c>
      <c r="AL262" s="4">
        <f t="shared" si="202"/>
        <v>0.7453596525911212</v>
      </c>
      <c r="AM262" s="4">
        <f t="shared" si="213"/>
        <v>322.19284168906546</v>
      </c>
      <c r="AN262" s="26">
        <f t="shared" si="239"/>
        <v>0.17487701541389142</v>
      </c>
      <c r="AO262" s="4">
        <f t="shared" si="240"/>
        <v>0.9883257613902705</v>
      </c>
      <c r="AP262" s="3">
        <f t="shared" si="214"/>
        <v>30</v>
      </c>
      <c r="AQ262" s="3">
        <f t="shared" si="215"/>
        <v>870</v>
      </c>
      <c r="AR262" s="21">
        <f t="shared" si="216"/>
        <v>138</v>
      </c>
      <c r="AS262" s="35">
        <f t="shared" si="227"/>
        <v>0.11782828492707872</v>
      </c>
      <c r="AT262" s="36">
        <f t="shared" si="217"/>
        <v>-0.011742917572959094</v>
      </c>
      <c r="AU262" s="4">
        <f t="shared" si="218"/>
        <v>34.183483087077484</v>
      </c>
      <c r="AV262" s="4">
        <f t="shared" si="204"/>
        <v>0.38570628965725434</v>
      </c>
      <c r="AW262" s="4">
        <f t="shared" si="200"/>
        <v>0.027860136508040288</v>
      </c>
      <c r="AX262" s="3">
        <f t="shared" si="219"/>
        <v>67.8</v>
      </c>
      <c r="AY262" s="36">
        <f t="shared" si="205"/>
        <v>-0.4</v>
      </c>
      <c r="AZ262" s="36">
        <f t="shared" si="228"/>
        <v>-0.8000000000000002</v>
      </c>
      <c r="BA262" s="36">
        <f t="shared" si="206"/>
        <v>-0.1</v>
      </c>
      <c r="BB262" s="6">
        <f t="shared" si="190"/>
        <v>1.5048249532475255</v>
      </c>
      <c r="BC262" s="6">
        <f aca="true" t="shared" si="248" ref="BC262:BC325">BB262-BB261</f>
        <v>0.028522474602035608</v>
      </c>
      <c r="BD262" s="4">
        <f t="shared" si="241"/>
        <v>0.7635238854235857</v>
      </c>
      <c r="BE262" s="4">
        <f>SUMPRODUCT(BC$4:BC262,$BD$96:BD$354)</f>
        <v>0.8463036244084288</v>
      </c>
      <c r="BF262" s="23">
        <f t="shared" si="242"/>
        <v>0.8463036244084288</v>
      </c>
      <c r="BG262" s="4">
        <f t="shared" si="207"/>
        <v>0.1436622866166568</v>
      </c>
    </row>
    <row r="263" spans="5:59" ht="15">
      <c r="E263" s="1">
        <f t="shared" si="243"/>
        <v>259</v>
      </c>
      <c r="F263" s="1">
        <f t="shared" si="229"/>
        <v>2009</v>
      </c>
      <c r="G263" s="3">
        <f t="shared" si="208"/>
        <v>3.13</v>
      </c>
      <c r="H263" s="3">
        <f t="shared" si="209"/>
        <v>0.43</v>
      </c>
      <c r="I263" s="5">
        <f t="shared" si="230"/>
        <v>0.7968437794134399</v>
      </c>
      <c r="J263" s="5">
        <f t="shared" si="224"/>
        <v>1.1604729359877388</v>
      </c>
      <c r="K263" s="4">
        <f t="shared" si="231"/>
        <v>1.6026832845988213</v>
      </c>
      <c r="L263" s="4">
        <f t="shared" si="232"/>
        <v>0.0013220702617491604</v>
      </c>
      <c r="M263" s="4">
        <f t="shared" si="225"/>
        <v>5.412800110922162</v>
      </c>
      <c r="N263" s="4">
        <f t="shared" si="233"/>
        <v>0.007156102059442747</v>
      </c>
      <c r="O263" s="4">
        <f>SUMPRODUCT($M$4:M263,L$95:$L$354)</f>
        <v>3.721100767227429</v>
      </c>
      <c r="P263" s="4">
        <f t="shared" si="234"/>
        <v>1.691699343694733</v>
      </c>
      <c r="Q263" s="4">
        <f t="shared" si="244"/>
        <v>52.174269371845014</v>
      </c>
      <c r="R263" s="4">
        <f t="shared" si="245"/>
        <v>79.78141783714557</v>
      </c>
      <c r="S263" s="4">
        <f t="shared" si="181"/>
        <v>0.057696967495131174</v>
      </c>
      <c r="T263" s="5">
        <f t="shared" si="246"/>
        <v>372.8944179149644</v>
      </c>
      <c r="U263" s="4">
        <f t="shared" si="235"/>
        <v>383.41646772576695</v>
      </c>
      <c r="V263" s="4">
        <f t="shared" si="226"/>
        <v>0.06695576926666401</v>
      </c>
      <c r="W263" s="4">
        <f>SUMPRODUCT($J$4:J263,$S$95:S$354)</f>
        <v>8.333386857933831</v>
      </c>
      <c r="X263" s="6">
        <f t="shared" si="192"/>
        <v>1.6816771540902187</v>
      </c>
      <c r="Y263" s="4">
        <f t="shared" si="236"/>
        <v>2009</v>
      </c>
      <c r="Z263" s="4">
        <f t="shared" si="247"/>
        <v>259</v>
      </c>
      <c r="AA263" s="3">
        <f t="shared" si="210"/>
        <v>114.11</v>
      </c>
      <c r="AB263" s="6">
        <f t="shared" si="237"/>
        <v>220.4453745</v>
      </c>
      <c r="AC263" s="4">
        <f t="shared" si="221"/>
        <v>215.50608316355945</v>
      </c>
      <c r="AD263" s="4">
        <f t="shared" si="222"/>
        <v>8.49395001908948</v>
      </c>
      <c r="AE263" s="4">
        <f t="shared" si="220"/>
        <v>4.9392913364405615</v>
      </c>
      <c r="AF263" s="6">
        <f t="shared" si="211"/>
        <v>1830.497899201015</v>
      </c>
      <c r="AG263" s="30">
        <f t="shared" si="182"/>
        <v>0.5594749404347944</v>
      </c>
      <c r="AH263" s="3">
        <f t="shared" si="212"/>
        <v>1.4553</v>
      </c>
      <c r="AI263" s="47">
        <f t="shared" si="238"/>
        <v>3.4303</v>
      </c>
      <c r="AJ263" s="4">
        <f t="shared" si="223"/>
        <v>2.691151677847138</v>
      </c>
      <c r="AK263" s="4">
        <f t="shared" si="201"/>
        <v>120</v>
      </c>
      <c r="AL263" s="4">
        <f t="shared" si="202"/>
        <v>0.7391483221528619</v>
      </c>
      <c r="AM263" s="4">
        <f t="shared" si="213"/>
        <v>322.93820134165657</v>
      </c>
      <c r="AN263" s="26">
        <f t="shared" si="239"/>
        <v>0.17736706634766802</v>
      </c>
      <c r="AO263" s="4">
        <f t="shared" si="240"/>
        <v>0.9873923848603612</v>
      </c>
      <c r="AP263" s="3">
        <f t="shared" si="214"/>
        <v>30</v>
      </c>
      <c r="AQ263" s="3">
        <f t="shared" si="215"/>
        <v>870</v>
      </c>
      <c r="AR263" s="21">
        <f t="shared" si="216"/>
        <v>138</v>
      </c>
      <c r="AS263" s="35">
        <f t="shared" si="227"/>
        <v>0.11773085522667065</v>
      </c>
      <c r="AT263" s="36">
        <f t="shared" si="217"/>
        <v>-0.012687765501919981</v>
      </c>
      <c r="AU263" s="4">
        <f t="shared" si="218"/>
        <v>34.1982463359675</v>
      </c>
      <c r="AV263" s="4">
        <f t="shared" si="204"/>
        <v>0.3863263461106349</v>
      </c>
      <c r="AW263" s="4">
        <f t="shared" si="200"/>
        <v>0.027973747021739718</v>
      </c>
      <c r="AX263" s="3">
        <f t="shared" si="219"/>
        <v>67.8</v>
      </c>
      <c r="AY263" s="36">
        <f t="shared" si="205"/>
        <v>-0.4</v>
      </c>
      <c r="AZ263" s="36">
        <f t="shared" si="228"/>
        <v>-0.8000000000000002</v>
      </c>
      <c r="BA263" s="36">
        <f t="shared" si="206"/>
        <v>-0.1</v>
      </c>
      <c r="BB263" s="6">
        <f t="shared" si="190"/>
        <v>1.5328192540050556</v>
      </c>
      <c r="BC263" s="6">
        <f t="shared" si="248"/>
        <v>0.027994300757530066</v>
      </c>
      <c r="BD263" s="4">
        <f t="shared" si="241"/>
        <v>0.762902759233039</v>
      </c>
      <c r="BE263" s="4">
        <f>SUMPRODUCT(BC$4:BC263,$BD$95:BD$354)</f>
        <v>0.8654792394826056</v>
      </c>
      <c r="BF263" s="23">
        <f t="shared" si="242"/>
        <v>0.8654792394826056</v>
      </c>
      <c r="BG263" s="4">
        <f t="shared" si="207"/>
        <v>0.16283790169083368</v>
      </c>
    </row>
    <row r="264" spans="5:59" ht="15">
      <c r="E264" s="1">
        <f t="shared" si="243"/>
        <v>260</v>
      </c>
      <c r="F264" s="1">
        <f t="shared" si="229"/>
        <v>2010</v>
      </c>
      <c r="G264" s="3">
        <f t="shared" si="208"/>
        <v>3.13</v>
      </c>
      <c r="H264" s="3">
        <f t="shared" si="209"/>
        <v>0.43</v>
      </c>
      <c r="I264" s="5">
        <f t="shared" si="230"/>
        <v>0.8008334054960097</v>
      </c>
      <c r="J264" s="5">
        <f t="shared" si="224"/>
        <v>1.1633633163517754</v>
      </c>
      <c r="K264" s="4">
        <f t="shared" si="231"/>
        <v>1.5958032781522151</v>
      </c>
      <c r="L264" s="4">
        <f t="shared" si="232"/>
        <v>0.001341200292836</v>
      </c>
      <c r="M264" s="4">
        <f t="shared" si="225"/>
        <v>5.484629801021313</v>
      </c>
      <c r="N264" s="4">
        <f t="shared" si="233"/>
        <v>0.007355987095226838</v>
      </c>
      <c r="O264" s="4">
        <f>SUMPRODUCT($M$4:M264,L$94:$L$354)</f>
        <v>3.7844604811532845</v>
      </c>
      <c r="P264" s="4">
        <f t="shared" si="234"/>
        <v>1.7001693198680288</v>
      </c>
      <c r="Q264" s="4">
        <f>($B$5/($B$4*$B$6))*W263</f>
        <v>52.8548514525306</v>
      </c>
      <c r="R264" s="4">
        <f t="shared" si="245"/>
        <v>81.00002965643579</v>
      </c>
      <c r="S264" s="4">
        <f aca="true" t="shared" si="249" ref="S264:S327">0.022936+0.24278*EXP(-(350-E264)/1.2679)+0.13963*EXP(-(350-E264)/5.2528)+0.089318*EXP(-(350-E264)/18.601)+0.03782*EXP(-(350-E264)/68.736)+0.035549*EXP(-(350-E264)/232.3)</f>
        <v>0.057985125608212326</v>
      </c>
      <c r="T264" s="5">
        <f t="shared" si="246"/>
        <v>374.46105752887416</v>
      </c>
      <c r="U264" s="4">
        <f t="shared" si="235"/>
        <v>385.01915101036576</v>
      </c>
      <c r="V264" s="4">
        <f t="shared" si="226"/>
        <v>0.06745776802664415</v>
      </c>
      <c r="W264" s="4">
        <f>SUMPRODUCT($J$4:J264,$S$94:S$354)</f>
        <v>8.439731236686075</v>
      </c>
      <c r="X264" s="6">
        <f t="shared" si="192"/>
        <v>1.7039935792952396</v>
      </c>
      <c r="Y264" s="4">
        <f t="shared" si="236"/>
        <v>2010</v>
      </c>
      <c r="Z264" s="4">
        <f t="shared" si="247"/>
        <v>260</v>
      </c>
      <c r="AA264" s="3">
        <f t="shared" si="210"/>
        <v>114.11</v>
      </c>
      <c r="AB264" s="6">
        <f t="shared" si="237"/>
        <v>220.4453745</v>
      </c>
      <c r="AC264" s="4">
        <f t="shared" si="221"/>
        <v>215.9245342007105</v>
      </c>
      <c r="AD264" s="4">
        <f t="shared" si="222"/>
        <v>8.500364246849982</v>
      </c>
      <c r="AE264" s="4">
        <f t="shared" si="220"/>
        <v>4.520840299289517</v>
      </c>
      <c r="AF264" s="6">
        <f t="shared" si="211"/>
        <v>1835.4371905374555</v>
      </c>
      <c r="AG264" s="30">
        <f aca="true" t="shared" si="250" ref="AG264:AG327">0.036*(SQRT(AF264)-SQRT($B$12))</f>
        <v>0.5615515739510619</v>
      </c>
      <c r="AH264" s="3">
        <f t="shared" si="212"/>
        <v>1.4553</v>
      </c>
      <c r="AI264" s="47">
        <f t="shared" si="238"/>
        <v>3.4303</v>
      </c>
      <c r="AJ264" s="4">
        <f t="shared" si="223"/>
        <v>2.697311247198412</v>
      </c>
      <c r="AK264" s="4">
        <f t="shared" si="201"/>
        <v>120</v>
      </c>
      <c r="AL264" s="4">
        <f t="shared" si="202"/>
        <v>0.7329887528015879</v>
      </c>
      <c r="AM264" s="4">
        <f t="shared" si="213"/>
        <v>323.6773496638094</v>
      </c>
      <c r="AN264" s="26">
        <f t="shared" si="239"/>
        <v>0.17983353069423927</v>
      </c>
      <c r="AO264" s="4">
        <f t="shared" si="240"/>
        <v>0.9865413200200557</v>
      </c>
      <c r="AP264" s="3">
        <f t="shared" si="214"/>
        <v>30</v>
      </c>
      <c r="AQ264" s="3">
        <f t="shared" si="215"/>
        <v>870</v>
      </c>
      <c r="AR264" s="21">
        <f t="shared" si="216"/>
        <v>138</v>
      </c>
      <c r="AS264" s="35">
        <f t="shared" si="227"/>
        <v>0.117642017560668</v>
      </c>
      <c r="AT264" s="36">
        <f t="shared" si="217"/>
        <v>-0.013550068922684929</v>
      </c>
      <c r="AU264" s="4">
        <f t="shared" si="218"/>
        <v>34.211719826916955</v>
      </c>
      <c r="AV264" s="4">
        <f t="shared" si="204"/>
        <v>0.38689223273051215</v>
      </c>
      <c r="AW264" s="4">
        <f t="shared" si="200"/>
        <v>0.028077578697553094</v>
      </c>
      <c r="AX264" s="3">
        <f t="shared" si="219"/>
        <v>67.8</v>
      </c>
      <c r="AY264" s="36">
        <f t="shared" si="205"/>
        <v>-0.4</v>
      </c>
      <c r="AZ264" s="36">
        <f t="shared" si="228"/>
        <v>-0.8000000000000002</v>
      </c>
      <c r="BA264" s="36">
        <f t="shared" si="206"/>
        <v>-0.1</v>
      </c>
      <c r="BB264" s="6">
        <f t="shared" si="190"/>
        <v>1.560348495368606</v>
      </c>
      <c r="BC264" s="6">
        <f t="shared" si="248"/>
        <v>0.027529241363550394</v>
      </c>
      <c r="BD264" s="4">
        <f t="shared" si="241"/>
        <v>0.762274246066441</v>
      </c>
      <c r="BE264" s="4">
        <f>SUMPRODUCT(BC$4:BC264,$BD$94:BD$354)</f>
        <v>0.8847800860006005</v>
      </c>
      <c r="BF264" s="23">
        <f t="shared" si="242"/>
        <v>0.8847800860006005</v>
      </c>
      <c r="BG264" s="4">
        <f t="shared" si="207"/>
        <v>0.18213874820882858</v>
      </c>
    </row>
    <row r="265" spans="5:59" ht="15">
      <c r="E265" s="1">
        <f t="shared" si="243"/>
        <v>261</v>
      </c>
      <c r="F265" s="1">
        <f t="shared" si="229"/>
        <v>2011</v>
      </c>
      <c r="G265" s="3">
        <f t="shared" si="208"/>
        <v>3.13</v>
      </c>
      <c r="H265" s="3">
        <f t="shared" si="209"/>
        <v>0.43</v>
      </c>
      <c r="I265" s="5">
        <f t="shared" si="230"/>
        <v>0.8046533221967488</v>
      </c>
      <c r="J265" s="5">
        <f t="shared" si="224"/>
        <v>1.1670528405433178</v>
      </c>
      <c r="K265" s="4">
        <f t="shared" si="231"/>
        <v>1.5882938372599333</v>
      </c>
      <c r="L265" s="4">
        <f t="shared" si="232"/>
        <v>0.0013608221611573891</v>
      </c>
      <c r="M265" s="4">
        <f t="shared" si="225"/>
        <v>5.555854676743651</v>
      </c>
      <c r="N265" s="4">
        <f t="shared" si="233"/>
        <v>0.007560530168282683</v>
      </c>
      <c r="O265" s="4">
        <f>SUMPRODUCT($M$4:M265,L$93:$L$354)</f>
        <v>3.8475756737199536</v>
      </c>
      <c r="P265" s="4">
        <f t="shared" si="234"/>
        <v>1.7082790030236978</v>
      </c>
      <c r="Q265" s="4">
        <f t="shared" si="244"/>
        <v>53.52934508130174</v>
      </c>
      <c r="R265" s="4">
        <f t="shared" si="245"/>
        <v>82.21292374891547</v>
      </c>
      <c r="S265" s="4">
        <f t="shared" si="249"/>
        <v>0.05827793720640996</v>
      </c>
      <c r="T265" s="5">
        <f t="shared" si="246"/>
        <v>376.02605029936467</v>
      </c>
      <c r="U265" s="4">
        <f t="shared" si="235"/>
        <v>386.614954288518</v>
      </c>
      <c r="V265" s="4">
        <f t="shared" si="226"/>
        <v>0.06801343215774586</v>
      </c>
      <c r="W265" s="4">
        <f>SUMPRODUCT($J$4:J265,$S$93:S$354)</f>
        <v>8.545762925402654</v>
      </c>
      <c r="X265" s="6">
        <f t="shared" si="192"/>
        <v>1.7261220975945721</v>
      </c>
      <c r="Y265" s="4">
        <f t="shared" si="236"/>
        <v>2011</v>
      </c>
      <c r="Z265" s="4">
        <f t="shared" si="247"/>
        <v>261</v>
      </c>
      <c r="AA265" s="3">
        <f t="shared" si="210"/>
        <v>114.11</v>
      </c>
      <c r="AB265" s="6">
        <f t="shared" si="237"/>
        <v>220.4453745</v>
      </c>
      <c r="AC265" s="4">
        <f t="shared" si="221"/>
        <v>216.3072734552575</v>
      </c>
      <c r="AD265" s="4">
        <f t="shared" si="222"/>
        <v>8.506223583911684</v>
      </c>
      <c r="AE265" s="4">
        <f t="shared" si="220"/>
        <v>4.138101044742513</v>
      </c>
      <c r="AF265" s="6">
        <f t="shared" si="211"/>
        <v>1839.9580308367451</v>
      </c>
      <c r="AG265" s="30">
        <f t="shared" si="250"/>
        <v>0.5634498297162959</v>
      </c>
      <c r="AH265" s="3">
        <f t="shared" si="212"/>
        <v>1.4553</v>
      </c>
      <c r="AI265" s="47">
        <f t="shared" si="238"/>
        <v>3.4303</v>
      </c>
      <c r="AJ265" s="4">
        <f t="shared" si="223"/>
        <v>2.7034194868050916</v>
      </c>
      <c r="AK265" s="4">
        <f t="shared" si="201"/>
        <v>120</v>
      </c>
      <c r="AL265" s="4">
        <f t="shared" si="202"/>
        <v>0.7268805131949083</v>
      </c>
      <c r="AM265" s="4">
        <f t="shared" si="213"/>
        <v>324.410338416611</v>
      </c>
      <c r="AN265" s="26">
        <f t="shared" si="239"/>
        <v>0.18227666162957873</v>
      </c>
      <c r="AO265" s="4">
        <f t="shared" si="240"/>
        <v>0.9857650020110297</v>
      </c>
      <c r="AP265" s="3">
        <f t="shared" si="214"/>
        <v>30</v>
      </c>
      <c r="AQ265" s="3">
        <f t="shared" si="215"/>
        <v>870</v>
      </c>
      <c r="AR265" s="21">
        <f t="shared" si="216"/>
        <v>138</v>
      </c>
      <c r="AS265" s="35">
        <f t="shared" si="227"/>
        <v>0.11756098227788866</v>
      </c>
      <c r="AT265" s="36">
        <f t="shared" si="217"/>
        <v>-0.014337287460135786</v>
      </c>
      <c r="AU265" s="4">
        <f t="shared" si="218"/>
        <v>34.224020116564624</v>
      </c>
      <c r="AV265" s="4">
        <f t="shared" si="204"/>
        <v>0.38740884489571425</v>
      </c>
      <c r="AW265" s="4">
        <f t="shared" si="200"/>
        <v>0.028172491485814796</v>
      </c>
      <c r="AX265" s="3">
        <f t="shared" si="219"/>
        <v>67.8</v>
      </c>
      <c r="AY265" s="36">
        <f t="shared" si="205"/>
        <v>-0.4</v>
      </c>
      <c r="AZ265" s="36">
        <f t="shared" si="228"/>
        <v>-0.8000000000000002</v>
      </c>
      <c r="BA265" s="36">
        <f t="shared" si="206"/>
        <v>-0.1</v>
      </c>
      <c r="BB265" s="6">
        <f t="shared" si="190"/>
        <v>1.5874299253219757</v>
      </c>
      <c r="BC265" s="6">
        <f t="shared" si="248"/>
        <v>0.027081429953369707</v>
      </c>
      <c r="BD265" s="4">
        <f t="shared" si="241"/>
        <v>0.7616378995309067</v>
      </c>
      <c r="BE265" s="4">
        <f>SUMPRODUCT(BC$4:BC265,$BD$93:BD$354)</f>
        <v>0.9041763631059254</v>
      </c>
      <c r="BF265" s="23">
        <f t="shared" si="242"/>
        <v>0.9041763631059254</v>
      </c>
      <c r="BG265" s="4">
        <f t="shared" si="207"/>
        <v>0.20153502531415346</v>
      </c>
    </row>
    <row r="266" spans="5:59" ht="15">
      <c r="E266" s="1">
        <f t="shared" si="243"/>
        <v>262</v>
      </c>
      <c r="F266" s="1">
        <f t="shared" si="229"/>
        <v>2012</v>
      </c>
      <c r="G266" s="3">
        <f t="shared" si="208"/>
        <v>3.13</v>
      </c>
      <c r="H266" s="3">
        <f t="shared" si="209"/>
        <v>0.43</v>
      </c>
      <c r="I266" s="5">
        <f t="shared" si="230"/>
        <v>0.8082933103982461</v>
      </c>
      <c r="J266" s="5">
        <f t="shared" si="224"/>
        <v>1.169735937920957</v>
      </c>
      <c r="K266" s="4">
        <f t="shared" si="231"/>
        <v>1.5819707516807968</v>
      </c>
      <c r="L266" s="4">
        <f t="shared" si="232"/>
        <v>0.0013809561694131803</v>
      </c>
      <c r="M266" s="4">
        <f t="shared" si="225"/>
        <v>5.626453065118739</v>
      </c>
      <c r="N266" s="4">
        <f t="shared" si="233"/>
        <v>0.007769885072189422</v>
      </c>
      <c r="O266" s="4">
        <f>SUMPRODUCT($M$4:M266,L$92:$L$354)</f>
        <v>3.9104463671432628</v>
      </c>
      <c r="P266" s="4">
        <f t="shared" si="234"/>
        <v>1.7160066979754767</v>
      </c>
      <c r="Q266" s="4">
        <f t="shared" si="244"/>
        <v>54.2018554605649</v>
      </c>
      <c r="R266" s="4">
        <f t="shared" si="245"/>
        <v>83.42741840685343</v>
      </c>
      <c r="S266" s="4">
        <f t="shared" si="249"/>
        <v>0.058575548870957526</v>
      </c>
      <c r="T266" s="5">
        <f t="shared" si="246"/>
        <v>377.5965369198035</v>
      </c>
      <c r="U266" s="4">
        <f t="shared" si="235"/>
        <v>388.2032481257779</v>
      </c>
      <c r="V266" s="4">
        <f t="shared" si="226"/>
        <v>0.06851792459780436</v>
      </c>
      <c r="W266" s="4">
        <f>SUMPRODUCT($J$4:J266,$S$92:S$354)</f>
        <v>8.650102874072719</v>
      </c>
      <c r="X266" s="6">
        <f t="shared" si="192"/>
        <v>1.7480559755159848</v>
      </c>
      <c r="Y266" s="4">
        <f t="shared" si="236"/>
        <v>2012</v>
      </c>
      <c r="Z266" s="4">
        <f t="shared" si="247"/>
        <v>262</v>
      </c>
      <c r="AA266" s="3">
        <f t="shared" si="210"/>
        <v>114.11</v>
      </c>
      <c r="AB266" s="6">
        <f t="shared" si="237"/>
        <v>220.4453745</v>
      </c>
      <c r="AC266" s="4">
        <f t="shared" si="221"/>
        <v>216.65739154895113</v>
      </c>
      <c r="AD266" s="4">
        <f>1/AS266</f>
        <v>8.511577281981799</v>
      </c>
      <c r="AE266" s="4">
        <f t="shared" si="220"/>
        <v>3.787982951048889</v>
      </c>
      <c r="AF266" s="6">
        <f t="shared" si="211"/>
        <v>1844.0961318814877</v>
      </c>
      <c r="AG266" s="30">
        <f t="shared" si="250"/>
        <v>0.5651853338773755</v>
      </c>
      <c r="AH266" s="3">
        <f t="shared" si="212"/>
        <v>1.4553</v>
      </c>
      <c r="AI266" s="47">
        <f t="shared" si="238"/>
        <v>3.4303</v>
      </c>
      <c r="AJ266" s="4">
        <f t="shared" si="223"/>
        <v>2.709476824415049</v>
      </c>
      <c r="AK266" s="4">
        <f t="shared" si="201"/>
        <v>120</v>
      </c>
      <c r="AL266" s="4">
        <f t="shared" si="202"/>
        <v>0.7208231755849508</v>
      </c>
      <c r="AM266" s="4">
        <f t="shared" si="213"/>
        <v>325.1372189298059</v>
      </c>
      <c r="AN266" s="26">
        <f t="shared" si="239"/>
        <v>0.18469670899058258</v>
      </c>
      <c r="AO266" s="4">
        <f t="shared" si="240"/>
        <v>0.9850566118128313</v>
      </c>
      <c r="AP266" s="3">
        <f t="shared" si="214"/>
        <v>30</v>
      </c>
      <c r="AQ266" s="3">
        <f t="shared" si="215"/>
        <v>870</v>
      </c>
      <c r="AR266" s="21">
        <f t="shared" si="216"/>
        <v>138</v>
      </c>
      <c r="AS266" s="35">
        <f t="shared" si="227"/>
        <v>0.11748703758079071</v>
      </c>
      <c r="AT266" s="36">
        <f t="shared" si="217"/>
        <v>-0.015056165539954567</v>
      </c>
      <c r="AU266" s="4">
        <f t="shared" si="218"/>
        <v>34.23525258656179</v>
      </c>
      <c r="AV266" s="4">
        <f t="shared" si="204"/>
        <v>0.3878806086355953</v>
      </c>
      <c r="AW266" s="4">
        <f t="shared" si="200"/>
        <v>0.028259266693868777</v>
      </c>
      <c r="AX266" s="3">
        <f t="shared" si="219"/>
        <v>67.8</v>
      </c>
      <c r="AY266" s="36">
        <f t="shared" si="205"/>
        <v>-0.4</v>
      </c>
      <c r="AZ266" s="36">
        <f t="shared" si="228"/>
        <v>-0.8000000000000002</v>
      </c>
      <c r="BA266" s="36">
        <f t="shared" si="206"/>
        <v>-0.1</v>
      </c>
      <c r="BB266" s="6">
        <f t="shared" si="190"/>
        <v>1.6140778937134066</v>
      </c>
      <c r="BC266" s="6">
        <f t="shared" si="248"/>
        <v>0.02664796839143091</v>
      </c>
      <c r="BD266" s="4">
        <f t="shared" si="241"/>
        <v>0.7609932413253178</v>
      </c>
      <c r="BE266" s="4">
        <f>SUMPRODUCT(BC$4:BC266,$BD$92:BD$354)</f>
        <v>0.923641079894149</v>
      </c>
      <c r="BF266" s="23">
        <f t="shared" si="242"/>
        <v>0.923641079894149</v>
      </c>
      <c r="BG266" s="4">
        <f t="shared" si="207"/>
        <v>0.22099974210237705</v>
      </c>
    </row>
    <row r="267" spans="5:59" ht="15">
      <c r="E267" s="1">
        <f t="shared" si="243"/>
        <v>263</v>
      </c>
      <c r="F267" s="1">
        <f t="shared" si="229"/>
        <v>2013</v>
      </c>
      <c r="G267" s="3">
        <f t="shared" si="208"/>
        <v>3.13</v>
      </c>
      <c r="H267" s="3">
        <f t="shared" si="209"/>
        <v>0.43</v>
      </c>
      <c r="I267" s="5">
        <f t="shared" si="230"/>
        <v>0.8117816787025626</v>
      </c>
      <c r="J267" s="5">
        <f t="shared" si="224"/>
        <v>1.1719849289216722</v>
      </c>
      <c r="K267" s="4">
        <f t="shared" si="231"/>
        <v>1.5762333923757654</v>
      </c>
      <c r="L267" s="4">
        <f t="shared" si="232"/>
        <v>0.001401623611855298</v>
      </c>
      <c r="M267" s="4">
        <f t="shared" si="225"/>
        <v>5.696483856178486</v>
      </c>
      <c r="N267" s="4">
        <f t="shared" si="233"/>
        <v>0.007984326277372287</v>
      </c>
      <c r="O267" s="4">
        <f>SUMPRODUCT($M$4:M267,L$91:$L$354)</f>
        <v>3.9730713522929455</v>
      </c>
      <c r="P267" s="4">
        <f t="shared" si="234"/>
        <v>1.7234125038855406</v>
      </c>
      <c r="Q267" s="4">
        <f t="shared" si="244"/>
        <v>54.863635908483324</v>
      </c>
      <c r="R267" s="4">
        <f t="shared" si="245"/>
        <v>84.62760048457189</v>
      </c>
      <c r="S267" s="4">
        <f t="shared" si="249"/>
        <v>0.058878113901567164</v>
      </c>
      <c r="T267" s="5">
        <f t="shared" si="246"/>
        <v>379.1555631713724</v>
      </c>
      <c r="U267" s="4">
        <f t="shared" si="235"/>
        <v>389.7852188774587</v>
      </c>
      <c r="V267" s="4">
        <f t="shared" si="226"/>
        <v>0.06900426213597032</v>
      </c>
      <c r="W267" s="4">
        <f>SUMPRODUCT($J$4:J267,$S$91:S$354)</f>
        <v>8.752910137661276</v>
      </c>
      <c r="X267" s="6">
        <f t="shared" si="192"/>
        <v>1.7698135093237455</v>
      </c>
      <c r="Y267" s="4">
        <f t="shared" si="236"/>
        <v>2013</v>
      </c>
      <c r="Z267" s="4">
        <f t="shared" si="247"/>
        <v>263</v>
      </c>
      <c r="AA267" s="3">
        <f t="shared" si="210"/>
        <v>114.11</v>
      </c>
      <c r="AB267" s="6">
        <f t="shared" si="237"/>
        <v>220.4453745</v>
      </c>
      <c r="AC267" s="4">
        <f t="shared" si="221"/>
        <v>216.9777045557463</v>
      </c>
      <c r="AD267" s="4">
        <f t="shared" si="222"/>
        <v>8.5164700152765</v>
      </c>
      <c r="AE267" s="4">
        <f t="shared" si="220"/>
        <v>3.467669944253714</v>
      </c>
      <c r="AF267" s="6">
        <f t="shared" si="211"/>
        <v>1847.8841148325366</v>
      </c>
      <c r="AG267" s="30">
        <f t="shared" si="250"/>
        <v>0.5667722935523682</v>
      </c>
      <c r="AH267" s="3">
        <f t="shared" si="212"/>
        <v>1.4553</v>
      </c>
      <c r="AI267" s="47">
        <f t="shared" si="238"/>
        <v>3.4303</v>
      </c>
      <c r="AJ267" s="4">
        <f t="shared" si="223"/>
        <v>2.7154836842115904</v>
      </c>
      <c r="AK267" s="4">
        <f t="shared" si="201"/>
        <v>120</v>
      </c>
      <c r="AL267" s="4">
        <f t="shared" si="202"/>
        <v>0.7148163157884095</v>
      </c>
      <c r="AM267" s="4">
        <f t="shared" si="213"/>
        <v>325.85804210539084</v>
      </c>
      <c r="AN267" s="26">
        <f t="shared" si="239"/>
        <v>0.18709391933261357</v>
      </c>
      <c r="AO267" s="4">
        <f t="shared" si="240"/>
        <v>0.9844099944180892</v>
      </c>
      <c r="AP267" s="3">
        <f t="shared" si="214"/>
        <v>30</v>
      </c>
      <c r="AQ267" s="3">
        <f t="shared" si="215"/>
        <v>870</v>
      </c>
      <c r="AR267" s="21">
        <f t="shared" si="216"/>
        <v>138</v>
      </c>
      <c r="AS267" s="35">
        <f t="shared" si="227"/>
        <v>0.1174195409842623</v>
      </c>
      <c r="AT267" s="36">
        <f t="shared" si="217"/>
        <v>-0.015712807714978426</v>
      </c>
      <c r="AU267" s="4">
        <f t="shared" si="218"/>
        <v>34.245512620546535</v>
      </c>
      <c r="AV267" s="4">
        <f t="shared" si="204"/>
        <v>0.3883115300629545</v>
      </c>
      <c r="AW267" s="4">
        <f t="shared" si="200"/>
        <v>0.028338614677618414</v>
      </c>
      <c r="AX267" s="3">
        <f t="shared" si="219"/>
        <v>67.8</v>
      </c>
      <c r="AY267" s="36">
        <f t="shared" si="205"/>
        <v>-0.4</v>
      </c>
      <c r="AZ267" s="36">
        <f t="shared" si="228"/>
        <v>-0.8000000000000002</v>
      </c>
      <c r="BA267" s="36">
        <f t="shared" si="206"/>
        <v>-0.1</v>
      </c>
      <c r="BB267" s="6">
        <f t="shared" si="190"/>
        <v>1.6403298669492998</v>
      </c>
      <c r="BC267" s="6">
        <f t="shared" si="248"/>
        <v>0.026251973235893233</v>
      </c>
      <c r="BD267" s="4">
        <f t="shared" si="241"/>
        <v>0.7603397589461608</v>
      </c>
      <c r="BE267" s="4">
        <f>SUMPRODUCT(BC$4:BC267,$BD$91:BD$354)</f>
        <v>0.9431497277318084</v>
      </c>
      <c r="BF267" s="23">
        <f t="shared" si="242"/>
        <v>0.9431497277318084</v>
      </c>
      <c r="BG267" s="4">
        <f t="shared" si="207"/>
        <v>0.24050838994003643</v>
      </c>
    </row>
    <row r="268" spans="5:59" ht="15">
      <c r="E268" s="1">
        <f t="shared" si="243"/>
        <v>264</v>
      </c>
      <c r="F268" s="1">
        <f t="shared" si="229"/>
        <v>2014</v>
      </c>
      <c r="G268" s="3">
        <f t="shared" si="208"/>
        <v>3.13</v>
      </c>
      <c r="H268" s="3">
        <f t="shared" si="209"/>
        <v>0.43</v>
      </c>
      <c r="I268" s="5">
        <f t="shared" si="230"/>
        <v>0.8151328596836382</v>
      </c>
      <c r="J268" s="5">
        <f t="shared" si="224"/>
        <v>1.1747629191051754</v>
      </c>
      <c r="K268" s="4">
        <f t="shared" si="231"/>
        <v>1.5701042212111864</v>
      </c>
      <c r="L268" s="4">
        <f t="shared" si="232"/>
        <v>0.0014228468246294413</v>
      </c>
      <c r="M268" s="4">
        <f t="shared" si="225"/>
        <v>5.765978553802874</v>
      </c>
      <c r="N268" s="4">
        <f t="shared" si="233"/>
        <v>0.008204104276159878</v>
      </c>
      <c r="O268" s="4">
        <f>SUMPRODUCT($M$4:M268,L$90:$L$354)</f>
        <v>4.03545149269451</v>
      </c>
      <c r="P268" s="4">
        <f t="shared" si="234"/>
        <v>1.730527061108364</v>
      </c>
      <c r="Q268" s="4">
        <f t="shared" si="244"/>
        <v>55.51569523776323</v>
      </c>
      <c r="R268" s="4">
        <f t="shared" si="245"/>
        <v>85.81509385405315</v>
      </c>
      <c r="S268" s="4">
        <f t="shared" si="249"/>
        <v>0.05918579266949457</v>
      </c>
      <c r="T268" s="5">
        <f t="shared" si="246"/>
        <v>380.70440388173495</v>
      </c>
      <c r="U268" s="4">
        <f t="shared" si="235"/>
        <v>391.36145226983444</v>
      </c>
      <c r="V268" s="4">
        <f>J268*S268</f>
        <v>0.06952927456596913</v>
      </c>
      <c r="W268" s="4">
        <f>SUMPRODUCT($J$4:J268,$S$90:S$354)</f>
        <v>8.855091421590416</v>
      </c>
      <c r="X268" s="6">
        <f t="shared" si="192"/>
        <v>1.7914044868086745</v>
      </c>
      <c r="Y268" s="4">
        <f t="shared" si="236"/>
        <v>2014</v>
      </c>
      <c r="Z268" s="4">
        <f t="shared" si="247"/>
        <v>264</v>
      </c>
      <c r="AA268" s="3">
        <f t="shared" si="210"/>
        <v>114.11</v>
      </c>
      <c r="AB268" s="6">
        <f t="shared" si="237"/>
        <v>220.4453745</v>
      </c>
      <c r="AC268" s="4">
        <f t="shared" si="221"/>
        <v>217.27077956159653</v>
      </c>
      <c r="AD268" s="4">
        <f t="shared" si="222"/>
        <v>8.520942339841561</v>
      </c>
      <c r="AE268" s="4">
        <f t="shared" si="220"/>
        <v>3.1745949384034873</v>
      </c>
      <c r="AF268" s="6">
        <f t="shared" si="211"/>
        <v>1851.3517847767903</v>
      </c>
      <c r="AG268" s="30">
        <f t="shared" si="250"/>
        <v>0.5682236339749515</v>
      </c>
      <c r="AH268" s="3">
        <f t="shared" si="212"/>
        <v>1.4553</v>
      </c>
      <c r="AI268" s="47">
        <f t="shared" si="238"/>
        <v>3.4303</v>
      </c>
      <c r="AJ268" s="4">
        <f t="shared" si="223"/>
        <v>2.7214404868431603</v>
      </c>
      <c r="AK268" s="4">
        <f t="shared" si="201"/>
        <v>120</v>
      </c>
      <c r="AL268" s="4">
        <f t="shared" si="202"/>
        <v>0.7088595131568396</v>
      </c>
      <c r="AM268" s="4">
        <f t="shared" si="213"/>
        <v>326.57285842117926</v>
      </c>
      <c r="AN268" s="26">
        <f t="shared" si="239"/>
        <v>0.18946853598575572</v>
      </c>
      <c r="AO268" s="4">
        <f t="shared" si="240"/>
        <v>0.9838195873140391</v>
      </c>
      <c r="AP268" s="3">
        <f t="shared" si="214"/>
        <v>30</v>
      </c>
      <c r="AQ268" s="3">
        <f t="shared" si="215"/>
        <v>870</v>
      </c>
      <c r="AR268" s="21">
        <f t="shared" si="216"/>
        <v>138</v>
      </c>
      <c r="AS268" s="35">
        <f t="shared" si="227"/>
        <v>0.11735791185022784</v>
      </c>
      <c r="AT268" s="36">
        <f t="shared" si="217"/>
        <v>-0.016312744965427638</v>
      </c>
      <c r="AU268" s="4">
        <f t="shared" si="218"/>
        <v>34.254886640084806</v>
      </c>
      <c r="AV268" s="4">
        <f t="shared" si="204"/>
        <v>0.38870523888356184</v>
      </c>
      <c r="AW268" s="4">
        <f t="shared" si="200"/>
        <v>0.028411181698747574</v>
      </c>
      <c r="AX268" s="3">
        <f t="shared" si="219"/>
        <v>67.8</v>
      </c>
      <c r="AY268" s="36">
        <f t="shared" si="205"/>
        <v>-0.4</v>
      </c>
      <c r="AZ268" s="36">
        <f t="shared" si="228"/>
        <v>-0.8000000000000002</v>
      </c>
      <c r="BA268" s="36">
        <f t="shared" si="206"/>
        <v>-0.1</v>
      </c>
      <c r="BB268" s="6">
        <f t="shared" si="190"/>
        <v>1.6662130773516908</v>
      </c>
      <c r="BC268" s="6">
        <f t="shared" si="248"/>
        <v>0.025883210402390944</v>
      </c>
      <c r="BD268" s="4">
        <f t="shared" si="241"/>
        <v>0.7596769032283869</v>
      </c>
      <c r="BE268" s="4">
        <f>SUMPRODUCT(BC$4:BC268,$BD$90:BD$354)</f>
        <v>0.9626812307050362</v>
      </c>
      <c r="BF268" s="23">
        <f t="shared" si="242"/>
        <v>0.9626812307050362</v>
      </c>
      <c r="BG268" s="4">
        <f t="shared" si="207"/>
        <v>0.26003989291326424</v>
      </c>
    </row>
    <row r="269" spans="5:59" ht="15">
      <c r="E269" s="1">
        <f t="shared" si="243"/>
        <v>265</v>
      </c>
      <c r="F269" s="1">
        <f t="shared" si="229"/>
        <v>2015</v>
      </c>
      <c r="G269" s="3">
        <f t="shared" si="208"/>
        <v>3.13</v>
      </c>
      <c r="H269" s="3">
        <f t="shared" si="209"/>
        <v>0.43</v>
      </c>
      <c r="I269" s="5">
        <f t="shared" si="230"/>
        <v>0.8183399766514213</v>
      </c>
      <c r="J269" s="5">
        <f aca="true" t="shared" si="251" ref="J269:J332">(((U269-T269)/9.06)+((U268-T268)/9.06))/2</f>
        <v>1.1774355994307073</v>
      </c>
      <c r="K269" s="4">
        <f t="shared" si="231"/>
        <v>1.5642244239178713</v>
      </c>
      <c r="L269" s="4">
        <f t="shared" si="232"/>
        <v>0.0014446492386929201</v>
      </c>
      <c r="M269" s="4">
        <f t="shared" si="225"/>
        <v>5.8349253135131764</v>
      </c>
      <c r="N269" s="4">
        <f t="shared" si="233"/>
        <v>0.008429420411996858</v>
      </c>
      <c r="O269" s="4">
        <f>SUMPRODUCT($M$4:M269,L$89:$L$354)</f>
        <v>4.097589543082209</v>
      </c>
      <c r="P269" s="4">
        <f t="shared" si="234"/>
        <v>1.7373357704309678</v>
      </c>
      <c r="Q269" s="4">
        <f t="shared" si="244"/>
        <v>56.163784265114906</v>
      </c>
      <c r="R269" s="4">
        <f t="shared" si="245"/>
        <v>87.00024340835952</v>
      </c>
      <c r="S269" s="4">
        <f t="shared" si="249"/>
        <v>0.05949875299008839</v>
      </c>
      <c r="T269" s="5">
        <f t="shared" si="246"/>
        <v>382.2534718174607</v>
      </c>
      <c r="U269" s="4">
        <f t="shared" si="235"/>
        <v>392.9315564910456</v>
      </c>
      <c r="V269" s="4">
        <f>J269*S269</f>
        <v>0.07005594989226431</v>
      </c>
      <c r="W269" s="4">
        <f>SUMPRODUCT($J$4:J269,$S$89:S$354)</f>
        <v>8.956357001915666</v>
      </c>
      <c r="X269" s="6">
        <f t="shared" si="192"/>
        <v>1.8128252280659405</v>
      </c>
      <c r="Y269" s="4">
        <f t="shared" si="236"/>
        <v>2015</v>
      </c>
      <c r="Z269" s="4">
        <f t="shared" si="247"/>
        <v>265</v>
      </c>
      <c r="AA269" s="3">
        <f t="shared" si="210"/>
        <v>114.11</v>
      </c>
      <c r="AB269" s="6">
        <f t="shared" si="237"/>
        <v>220.4453745</v>
      </c>
      <c r="AC269" s="4">
        <f t="shared" si="221"/>
        <v>217.5389576511442</v>
      </c>
      <c r="AD269" s="4">
        <f t="shared" si="222"/>
        <v>8.525031101276124</v>
      </c>
      <c r="AE269" s="4">
        <f t="shared" si="220"/>
        <v>2.9064168488558266</v>
      </c>
      <c r="AF269" s="6">
        <f t="shared" si="211"/>
        <v>1854.5263797151938</v>
      </c>
      <c r="AG269" s="30">
        <f t="shared" si="250"/>
        <v>0.5695511210265408</v>
      </c>
      <c r="AH269" s="3">
        <f t="shared" si="212"/>
        <v>1.4553</v>
      </c>
      <c r="AI269" s="47">
        <f t="shared" si="238"/>
        <v>3.4303</v>
      </c>
      <c r="AJ269" s="4">
        <f t="shared" si="223"/>
        <v>2.727347649452801</v>
      </c>
      <c r="AK269" s="4">
        <f t="shared" si="201"/>
        <v>120</v>
      </c>
      <c r="AL269" s="4">
        <f t="shared" si="202"/>
        <v>0.7029523505471991</v>
      </c>
      <c r="AM269" s="4">
        <f t="shared" si="213"/>
        <v>327.2817179343361</v>
      </c>
      <c r="AN269" s="26">
        <f t="shared" si="239"/>
        <v>0.19182079910980676</v>
      </c>
      <c r="AO269" s="4">
        <f t="shared" si="240"/>
        <v>0.9832803577659185</v>
      </c>
      <c r="AP269" s="3">
        <f t="shared" si="214"/>
        <v>30</v>
      </c>
      <c r="AQ269" s="3">
        <f t="shared" si="215"/>
        <v>870</v>
      </c>
      <c r="AR269" s="21">
        <f t="shared" si="216"/>
        <v>138</v>
      </c>
      <c r="AS269" s="35">
        <f t="shared" si="227"/>
        <v>0.11730162484102946</v>
      </c>
      <c r="AT269" s="36">
        <f t="shared" si="217"/>
        <v>-0.016860993225996074</v>
      </c>
      <c r="AU269" s="4">
        <f t="shared" si="218"/>
        <v>34.26345301915619</v>
      </c>
      <c r="AV269" s="4">
        <f t="shared" si="204"/>
        <v>0.3890650268045599</v>
      </c>
      <c r="AW269" s="4">
        <f t="shared" si="200"/>
        <v>0.02847755605132704</v>
      </c>
      <c r="AX269" s="3">
        <f t="shared" si="219"/>
        <v>67.8</v>
      </c>
      <c r="AY269" s="36">
        <f t="shared" si="205"/>
        <v>-0.4</v>
      </c>
      <c r="AZ269" s="36">
        <f t="shared" si="228"/>
        <v>-0.8000000000000002</v>
      </c>
      <c r="BA269" s="36">
        <f t="shared" si="206"/>
        <v>-0.1</v>
      </c>
      <c r="BB269" s="6">
        <f t="shared" si="190"/>
        <v>1.6917397310581748</v>
      </c>
      <c r="BC269" s="6">
        <f t="shared" si="248"/>
        <v>0.025526653706483993</v>
      </c>
      <c r="BD269" s="4">
        <f t="shared" si="241"/>
        <v>0.7590040857094302</v>
      </c>
      <c r="BE269" s="4">
        <f>SUMPRODUCT(BC$4:BC269,$BD$89:BD$354)</f>
        <v>0.9822172227584999</v>
      </c>
      <c r="BF269" s="23">
        <f t="shared" si="242"/>
        <v>0.9822172227584999</v>
      </c>
      <c r="BG269" s="4">
        <f t="shared" si="207"/>
        <v>0.2795758849667279</v>
      </c>
    </row>
    <row r="270" spans="5:59" ht="15">
      <c r="E270" s="1">
        <f t="shared" si="243"/>
        <v>266</v>
      </c>
      <c r="F270" s="1">
        <f t="shared" si="229"/>
        <v>2016</v>
      </c>
      <c r="G270" s="3">
        <f t="shared" si="208"/>
        <v>3.13</v>
      </c>
      <c r="H270" s="3">
        <f t="shared" si="209"/>
        <v>0.43</v>
      </c>
      <c r="I270" s="5">
        <f t="shared" si="230"/>
        <v>0.8214097821561747</v>
      </c>
      <c r="J270" s="5">
        <f t="shared" si="251"/>
        <v>1.1796349865061109</v>
      </c>
      <c r="K270" s="4">
        <f t="shared" si="231"/>
        <v>1.5589552313377146</v>
      </c>
      <c r="L270" s="4">
        <f t="shared" si="232"/>
        <v>0.0014670554354406793</v>
      </c>
      <c r="M270" s="4">
        <f t="shared" si="225"/>
        <v>5.9033404643004666</v>
      </c>
      <c r="N270" s="4">
        <f t="shared" si="233"/>
        <v>0.008660527715408903</v>
      </c>
      <c r="O270" s="4">
        <f>SUMPRODUCT($M$4:M270,L$88:$L$354)</f>
        <v>4.159487496782908</v>
      </c>
      <c r="P270" s="4">
        <f t="shared" si="234"/>
        <v>1.743852967517559</v>
      </c>
      <c r="Q270" s="4">
        <f t="shared" si="244"/>
        <v>56.80606540441539</v>
      </c>
      <c r="R270" s="4">
        <f t="shared" si="245"/>
        <v>88.17960490095433</v>
      </c>
      <c r="S270" s="4">
        <f t="shared" si="249"/>
        <v>0.05981717051595107</v>
      </c>
      <c r="T270" s="5">
        <f t="shared" si="246"/>
        <v>383.7988796330577</v>
      </c>
      <c r="U270" s="4">
        <f t="shared" si="235"/>
        <v>394.4957809149635</v>
      </c>
      <c r="V270" s="4">
        <f t="shared" si="226"/>
        <v>0.07056242713441767</v>
      </c>
      <c r="W270" s="4">
        <f>SUMPRODUCT($J$4:J270,$S$88:S$354)</f>
        <v>9.056332113049438</v>
      </c>
      <c r="X270" s="6">
        <f t="shared" si="192"/>
        <v>1.8340808062722125</v>
      </c>
      <c r="Y270" s="4">
        <f t="shared" si="236"/>
        <v>2016</v>
      </c>
      <c r="Z270" s="4">
        <f t="shared" si="247"/>
        <v>266</v>
      </c>
      <c r="AA270" s="3">
        <f t="shared" si="210"/>
        <v>114.11</v>
      </c>
      <c r="AB270" s="6">
        <f t="shared" si="237"/>
        <v>220.4453745</v>
      </c>
      <c r="AC270" s="4">
        <f t="shared" si="221"/>
        <v>217.78437461197512</v>
      </c>
      <c r="AD270" s="4">
        <f t="shared" si="222"/>
        <v>8.528769797527598</v>
      </c>
      <c r="AE270" s="4">
        <f t="shared" si="220"/>
        <v>2.6609998880248895</v>
      </c>
      <c r="AF270" s="6">
        <f t="shared" si="211"/>
        <v>1857.4327965640496</v>
      </c>
      <c r="AG270" s="30">
        <f t="shared" si="250"/>
        <v>0.5707654709313604</v>
      </c>
      <c r="AH270" s="3">
        <f t="shared" si="212"/>
        <v>1.4553</v>
      </c>
      <c r="AI270" s="47">
        <f t="shared" si="238"/>
        <v>3.4303</v>
      </c>
      <c r="AJ270" s="4">
        <f t="shared" si="223"/>
        <v>2.7332055857073607</v>
      </c>
      <c r="AK270" s="4">
        <f t="shared" si="201"/>
        <v>120</v>
      </c>
      <c r="AL270" s="4">
        <f t="shared" si="202"/>
        <v>0.6970944142926392</v>
      </c>
      <c r="AM270" s="4">
        <f t="shared" si="213"/>
        <v>327.9846702848833</v>
      </c>
      <c r="AN270" s="26">
        <f t="shared" si="239"/>
        <v>0.19415094574804853</v>
      </c>
      <c r="AO270" s="4">
        <f t="shared" si="240"/>
        <v>0.9827877476486736</v>
      </c>
      <c r="AP270" s="3">
        <f t="shared" si="214"/>
        <v>30</v>
      </c>
      <c r="AQ270" s="3">
        <f t="shared" si="215"/>
        <v>870</v>
      </c>
      <c r="AR270" s="21">
        <f t="shared" si="216"/>
        <v>138</v>
      </c>
      <c r="AS270" s="35">
        <f t="shared" si="227"/>
        <v>0.1172502041607325</v>
      </c>
      <c r="AT270" s="36">
        <f t="shared" si="217"/>
        <v>-0.01736210519276531</v>
      </c>
      <c r="AU270" s="4">
        <f t="shared" si="218"/>
        <v>34.27128289363696</v>
      </c>
      <c r="AV270" s="4">
        <f t="shared" si="204"/>
        <v>0.38939388153275223</v>
      </c>
      <c r="AW270" s="4">
        <f t="shared" si="200"/>
        <v>0.028538273546568023</v>
      </c>
      <c r="AX270" s="3">
        <f t="shared" si="219"/>
        <v>67.8</v>
      </c>
      <c r="AY270" s="36">
        <f t="shared" si="205"/>
        <v>-0.4</v>
      </c>
      <c r="AZ270" s="36">
        <f t="shared" si="228"/>
        <v>-0.8000000000000002</v>
      </c>
      <c r="BA270" s="36">
        <f t="shared" si="206"/>
        <v>-0.1</v>
      </c>
      <c r="BB270" s="6">
        <f t="shared" si="190"/>
        <v>1.7169293780309416</v>
      </c>
      <c r="BC270" s="6">
        <f t="shared" si="248"/>
        <v>0.02518964697276682</v>
      </c>
      <c r="BD270" s="4">
        <f t="shared" si="241"/>
        <v>0.758320675803667</v>
      </c>
      <c r="BE270" s="4">
        <f>SUMPRODUCT(BC$4:BC270,$BD$88:BD$354)</f>
        <v>1.0017411414746258</v>
      </c>
      <c r="BF270" s="23">
        <f t="shared" si="242"/>
        <v>1.0017411414746258</v>
      </c>
      <c r="BG270" s="4">
        <f t="shared" si="207"/>
        <v>0.2990998036828538</v>
      </c>
    </row>
    <row r="271" spans="5:59" ht="15">
      <c r="E271" s="1">
        <f t="shared" si="243"/>
        <v>267</v>
      </c>
      <c r="F271" s="1">
        <f t="shared" si="229"/>
        <v>2017</v>
      </c>
      <c r="G271" s="3">
        <f t="shared" si="208"/>
        <v>3.13</v>
      </c>
      <c r="H271" s="3">
        <f t="shared" si="209"/>
        <v>0.43</v>
      </c>
      <c r="I271" s="5">
        <f t="shared" si="230"/>
        <v>0.8243564328224386</v>
      </c>
      <c r="J271" s="5">
        <f t="shared" si="251"/>
        <v>1.1818974626294438</v>
      </c>
      <c r="K271" s="4">
        <f t="shared" si="231"/>
        <v>1.5537461045481176</v>
      </c>
      <c r="L271" s="4">
        <f t="shared" si="232"/>
        <v>0.0014900912051783385</v>
      </c>
      <c r="M271" s="4">
        <f t="shared" si="225"/>
        <v>5.971255779773164</v>
      </c>
      <c r="N271" s="4">
        <f t="shared" si="233"/>
        <v>0.008897715721310312</v>
      </c>
      <c r="O271" s="4">
        <f>SUMPRODUCT($M$4:M271,L$87:$L$354)</f>
        <v>4.221147072891126</v>
      </c>
      <c r="P271" s="4">
        <f t="shared" si="234"/>
        <v>1.7501087068820373</v>
      </c>
      <c r="Q271" s="4">
        <f t="shared" si="244"/>
        <v>57.44016168939643</v>
      </c>
      <c r="R271" s="4">
        <f t="shared" si="245"/>
        <v>89.34868231867712</v>
      </c>
      <c r="S271" s="4">
        <f t="shared" si="249"/>
        <v>0.060141229151912</v>
      </c>
      <c r="T271" s="5">
        <f t="shared" si="246"/>
        <v>385.33565540536154</v>
      </c>
      <c r="U271" s="4">
        <f t="shared" si="235"/>
        <v>396.05473614630125</v>
      </c>
      <c r="V271" s="4">
        <f t="shared" si="226"/>
        <v>0.07108076613406074</v>
      </c>
      <c r="W271" s="4">
        <f>SUMPRODUCT($J$4:J271,$S$87:S$354)</f>
        <v>9.155408684290817</v>
      </c>
      <c r="X271" s="6">
        <f t="shared" si="192"/>
        <v>1.855181093018956</v>
      </c>
      <c r="Y271" s="4">
        <f t="shared" si="236"/>
        <v>2017</v>
      </c>
      <c r="Z271" s="4">
        <f t="shared" si="247"/>
        <v>267</v>
      </c>
      <c r="AA271" s="3">
        <f t="shared" si="210"/>
        <v>114.11</v>
      </c>
      <c r="AB271" s="6">
        <f t="shared" si="237"/>
        <v>220.4453745</v>
      </c>
      <c r="AC271" s="4">
        <f t="shared" si="221"/>
        <v>218.00897960922902</v>
      </c>
      <c r="AD271" s="4">
        <f t="shared" si="222"/>
        <v>8.532188902430562</v>
      </c>
      <c r="AE271" s="4">
        <f t="shared" si="220"/>
        <v>2.4363948907709982</v>
      </c>
      <c r="AF271" s="6">
        <f t="shared" si="211"/>
        <v>1860.0937964520745</v>
      </c>
      <c r="AG271" s="30">
        <f t="shared" si="250"/>
        <v>0.5718764486400265</v>
      </c>
      <c r="AH271" s="3">
        <f t="shared" si="212"/>
        <v>1.4553</v>
      </c>
      <c r="AI271" s="47">
        <f t="shared" si="238"/>
        <v>3.4303</v>
      </c>
      <c r="AJ271" s="4">
        <f t="shared" si="223"/>
        <v>2.739014705826466</v>
      </c>
      <c r="AK271" s="4">
        <f t="shared" si="201"/>
        <v>120</v>
      </c>
      <c r="AL271" s="4">
        <f t="shared" si="202"/>
        <v>0.6912852941735341</v>
      </c>
      <c r="AM271" s="4">
        <f t="shared" si="213"/>
        <v>328.6817646991759</v>
      </c>
      <c r="AN271" s="26">
        <f t="shared" si="239"/>
        <v>0.19645920987982876</v>
      </c>
      <c r="AO271" s="4">
        <f t="shared" si="240"/>
        <v>0.9823376247776276</v>
      </c>
      <c r="AP271" s="3">
        <f t="shared" si="214"/>
        <v>30</v>
      </c>
      <c r="AQ271" s="3">
        <f t="shared" si="215"/>
        <v>870</v>
      </c>
      <c r="AR271" s="21">
        <f t="shared" si="216"/>
        <v>138</v>
      </c>
      <c r="AS271" s="35">
        <f t="shared" si="227"/>
        <v>0.11720321847481956</v>
      </c>
      <c r="AT271" s="36">
        <f t="shared" si="217"/>
        <v>-0.017820216298788407</v>
      </c>
      <c r="AU271" s="4">
        <f t="shared" si="218"/>
        <v>34.278440879668565</v>
      </c>
      <c r="AV271" s="4">
        <f t="shared" si="204"/>
        <v>0.38969451694607976</v>
      </c>
      <c r="AW271" s="4">
        <f t="shared" si="200"/>
        <v>0.028593822432001325</v>
      </c>
      <c r="AX271" s="3">
        <f t="shared" si="219"/>
        <v>67.8</v>
      </c>
      <c r="AY271" s="36">
        <f t="shared" si="205"/>
        <v>-0.4</v>
      </c>
      <c r="AZ271" s="36">
        <f t="shared" si="228"/>
        <v>-0.8000000000000002</v>
      </c>
      <c r="BA271" s="36">
        <f t="shared" si="206"/>
        <v>-0.1</v>
      </c>
      <c r="BB271" s="6">
        <f t="shared" si="190"/>
        <v>1.741805090916892</v>
      </c>
      <c r="BC271" s="6">
        <f t="shared" si="248"/>
        <v>0.024875712885950474</v>
      </c>
      <c r="BD271" s="4">
        <f t="shared" si="241"/>
        <v>0.7576259977736842</v>
      </c>
      <c r="BE271" s="4">
        <f>SUMPRODUCT(BC$4:BC271,$BD$87:BD$354)</f>
        <v>1.0212384622722273</v>
      </c>
      <c r="BF271" s="23">
        <f t="shared" si="242"/>
        <v>1.0212384622722273</v>
      </c>
      <c r="BG271" s="4">
        <f t="shared" si="207"/>
        <v>0.3185971244804553</v>
      </c>
    </row>
    <row r="272" spans="5:59" ht="15">
      <c r="E272" s="1">
        <f t="shared" si="243"/>
        <v>268</v>
      </c>
      <c r="F272" s="1">
        <f t="shared" si="229"/>
        <v>2018</v>
      </c>
      <c r="G272" s="3">
        <f t="shared" si="208"/>
        <v>3.13</v>
      </c>
      <c r="H272" s="3">
        <f t="shared" si="209"/>
        <v>0.43</v>
      </c>
      <c r="I272" s="5">
        <f t="shared" si="230"/>
        <v>0.8271822030876732</v>
      </c>
      <c r="J272" s="5">
        <f t="shared" si="251"/>
        <v>1.1842923884203482</v>
      </c>
      <c r="K272" s="4">
        <f t="shared" si="231"/>
        <v>1.5485254084919788</v>
      </c>
      <c r="L272" s="4">
        <f t="shared" si="232"/>
        <v>0.0015137836085882088</v>
      </c>
      <c r="M272" s="4">
        <f t="shared" si="225"/>
        <v>6.038678690349818</v>
      </c>
      <c r="N272" s="4">
        <f t="shared" si="233"/>
        <v>0.009141252818982466</v>
      </c>
      <c r="O272" s="4">
        <f>SUMPRODUCT($M$4:M272,L$86:$L$354)</f>
        <v>4.282570873194688</v>
      </c>
      <c r="P272" s="4">
        <f t="shared" si="234"/>
        <v>1.7561078171551303</v>
      </c>
      <c r="Q272" s="4">
        <f t="shared" si="244"/>
        <v>58.06855894787767</v>
      </c>
      <c r="R272" s="4">
        <f t="shared" si="245"/>
        <v>90.5119287586255</v>
      </c>
      <c r="S272" s="4">
        <f t="shared" si="249"/>
        <v>0.060471121493093735</v>
      </c>
      <c r="T272" s="5">
        <f t="shared" si="246"/>
        <v>386.86818491361237</v>
      </c>
      <c r="U272" s="4">
        <f t="shared" si="235"/>
        <v>397.60848225084936</v>
      </c>
      <c r="V272" s="4">
        <f t="shared" si="226"/>
        <v>0.07161548890351303</v>
      </c>
      <c r="W272" s="4">
        <f>SUMPRODUCT($J$4:J272,$S$86:S$354)</f>
        <v>9.253772782916561</v>
      </c>
      <c r="X272" s="6">
        <f t="shared" si="192"/>
        <v>1.8761283968276148</v>
      </c>
      <c r="Y272" s="4">
        <f t="shared" si="236"/>
        <v>2018</v>
      </c>
      <c r="Z272" s="4">
        <f t="shared" si="247"/>
        <v>268</v>
      </c>
      <c r="AA272" s="3">
        <f t="shared" si="210"/>
        <v>114.11</v>
      </c>
      <c r="AB272" s="6">
        <f t="shared" si="237"/>
        <v>220.4453745</v>
      </c>
      <c r="AC272" s="4">
        <f t="shared" si="221"/>
        <v>218.2145520511907</v>
      </c>
      <c r="AD272" s="4">
        <f t="shared" si="222"/>
        <v>8.535316154836075</v>
      </c>
      <c r="AE272" s="4">
        <f t="shared" si="220"/>
        <v>2.230822448809306</v>
      </c>
      <c r="AF272" s="6">
        <f t="shared" si="211"/>
        <v>1862.5301913428455</v>
      </c>
      <c r="AG272" s="30">
        <f t="shared" si="250"/>
        <v>0.5728929562177932</v>
      </c>
      <c r="AH272" s="3">
        <f t="shared" si="212"/>
        <v>1.4553</v>
      </c>
      <c r="AI272" s="47">
        <f t="shared" si="238"/>
        <v>3.4303</v>
      </c>
      <c r="AJ272" s="4">
        <f t="shared" si="223"/>
        <v>2.7447754166112457</v>
      </c>
      <c r="AK272" s="4">
        <f t="shared" si="201"/>
        <v>120</v>
      </c>
      <c r="AL272" s="4">
        <f t="shared" si="202"/>
        <v>0.6855245833887542</v>
      </c>
      <c r="AM272" s="4">
        <f t="shared" si="213"/>
        <v>329.37304999334947</v>
      </c>
      <c r="AN272" s="26">
        <f t="shared" si="239"/>
        <v>0.19874582247198644</v>
      </c>
      <c r="AO272" s="4">
        <f t="shared" si="240"/>
        <v>0.9819262398557698</v>
      </c>
      <c r="AP272" s="3">
        <f t="shared" si="214"/>
        <v>30</v>
      </c>
      <c r="AQ272" s="3">
        <f t="shared" si="215"/>
        <v>870</v>
      </c>
      <c r="AR272" s="21">
        <f t="shared" si="216"/>
        <v>138</v>
      </c>
      <c r="AS272" s="35">
        <f t="shared" si="227"/>
        <v>0.11716027641617051</v>
      </c>
      <c r="AT272" s="36">
        <f t="shared" si="217"/>
        <v>-0.01823908561189816</v>
      </c>
      <c r="AU272" s="4">
        <f t="shared" si="218"/>
        <v>34.28498571268591</v>
      </c>
      <c r="AV272" s="4">
        <f t="shared" si="204"/>
        <v>0.3899693999328082</v>
      </c>
      <c r="AW272" s="4">
        <f t="shared" si="200"/>
        <v>0.02864464781088966</v>
      </c>
      <c r="AX272" s="3">
        <f t="shared" si="219"/>
        <v>67.8</v>
      </c>
      <c r="AY272" s="36">
        <f t="shared" si="205"/>
        <v>-0.4</v>
      </c>
      <c r="AZ272" s="36">
        <f t="shared" si="228"/>
        <v>-0.8000000000000002</v>
      </c>
      <c r="BA272" s="36">
        <f t="shared" si="206"/>
        <v>-0.1</v>
      </c>
      <c r="BB272" s="6">
        <f t="shared" si="190"/>
        <v>1.7663812232610923</v>
      </c>
      <c r="BC272" s="6">
        <f t="shared" si="248"/>
        <v>0.024576132344200197</v>
      </c>
      <c r="BD272" s="4">
        <f t="shared" si="241"/>
        <v>0.7569193274837441</v>
      </c>
      <c r="BE272" s="4">
        <f>SUMPRODUCT(BC$4:BC272,$BD$86:BD$354)</f>
        <v>1.040696732679219</v>
      </c>
      <c r="BF272" s="23">
        <f t="shared" si="242"/>
        <v>1.040696732679219</v>
      </c>
      <c r="BG272" s="4">
        <f t="shared" si="207"/>
        <v>0.33805539488744696</v>
      </c>
    </row>
    <row r="273" spans="5:59" ht="15">
      <c r="E273" s="1">
        <f t="shared" si="243"/>
        <v>269</v>
      </c>
      <c r="F273" s="1">
        <f t="shared" si="229"/>
        <v>2019</v>
      </c>
      <c r="G273" s="3">
        <f t="shared" si="208"/>
        <v>3.13</v>
      </c>
      <c r="H273" s="3">
        <f t="shared" si="209"/>
        <v>0.43</v>
      </c>
      <c r="I273" s="5">
        <f t="shared" si="230"/>
        <v>0.829887857605917</v>
      </c>
      <c r="J273" s="5">
        <f t="shared" si="251"/>
        <v>1.1864718019762068</v>
      </c>
      <c r="K273" s="4">
        <f t="shared" si="231"/>
        <v>1.5436403404178765</v>
      </c>
      <c r="L273" s="4">
        <f t="shared" si="232"/>
        <v>0.0015381610413417448</v>
      </c>
      <c r="M273" s="4">
        <f t="shared" si="225"/>
        <v>6.105613419441885</v>
      </c>
      <c r="N273" s="4">
        <f t="shared" si="233"/>
        <v>0.00939141669527886</v>
      </c>
      <c r="O273" s="4">
        <f>SUMPRODUCT($M$4:M273,L$85:$L$354)</f>
        <v>4.343761497744523</v>
      </c>
      <c r="P273" s="4">
        <f t="shared" si="234"/>
        <v>1.761851921697362</v>
      </c>
      <c r="Q273" s="4">
        <f t="shared" si="244"/>
        <v>58.692437319271896</v>
      </c>
      <c r="R273" s="4">
        <f t="shared" si="245"/>
        <v>91.67143981603975</v>
      </c>
      <c r="S273" s="4">
        <f t="shared" si="249"/>
        <v>0.060807049287439865</v>
      </c>
      <c r="T273" s="5">
        <f t="shared" si="246"/>
        <v>388.39843594476946</v>
      </c>
      <c r="U273" s="4">
        <f t="shared" si="235"/>
        <v>399.15700765934133</v>
      </c>
      <c r="V273" s="4">
        <f t="shared" si="226"/>
        <v>0.0721458493409248</v>
      </c>
      <c r="W273" s="4">
        <f>SUMPRODUCT($J$4:J273,$S$85:S$354)</f>
        <v>9.351189754950864</v>
      </c>
      <c r="X273" s="6">
        <f t="shared" si="192"/>
        <v>1.8969240298498304</v>
      </c>
      <c r="Y273" s="4">
        <f t="shared" si="236"/>
        <v>2019</v>
      </c>
      <c r="Z273" s="4">
        <f t="shared" si="247"/>
        <v>269</v>
      </c>
      <c r="AA273" s="3">
        <f t="shared" si="210"/>
        <v>114.11</v>
      </c>
      <c r="AB273" s="6">
        <f t="shared" si="237"/>
        <v>220.4453745</v>
      </c>
      <c r="AC273" s="4">
        <f t="shared" si="221"/>
        <v>218.4027168390573</v>
      </c>
      <c r="AD273" s="4">
        <f t="shared" si="222"/>
        <v>8.53817681748809</v>
      </c>
      <c r="AE273" s="4">
        <f>AB273-AC273</f>
        <v>2.042657660942723</v>
      </c>
      <c r="AF273" s="6">
        <f t="shared" si="211"/>
        <v>1864.7610137916547</v>
      </c>
      <c r="AG273" s="30">
        <f t="shared" si="250"/>
        <v>0.573823112377173</v>
      </c>
      <c r="AH273" s="3">
        <f t="shared" si="212"/>
        <v>1.4553</v>
      </c>
      <c r="AI273" s="47">
        <f t="shared" si="238"/>
        <v>3.4303</v>
      </c>
      <c r="AJ273" s="4">
        <f t="shared" si="223"/>
        <v>2.7504881214728187</v>
      </c>
      <c r="AK273" s="4">
        <f t="shared" si="201"/>
        <v>120</v>
      </c>
      <c r="AL273" s="4">
        <f t="shared" si="202"/>
        <v>0.6798118785271812</v>
      </c>
      <c r="AM273" s="4">
        <f t="shared" si="213"/>
        <v>330.05857457673824</v>
      </c>
      <c r="AN273" s="26">
        <f t="shared" si="239"/>
        <v>0.20101101152915035</v>
      </c>
      <c r="AO273" s="4">
        <f t="shared" si="240"/>
        <v>0.9815501882925718</v>
      </c>
      <c r="AP273" s="3">
        <f t="shared" si="214"/>
        <v>30</v>
      </c>
      <c r="AQ273" s="3">
        <f t="shared" si="215"/>
        <v>870</v>
      </c>
      <c r="AR273" s="21">
        <f t="shared" si="216"/>
        <v>138</v>
      </c>
      <c r="AS273" s="35">
        <f t="shared" si="227"/>
        <v>0.11712102259955276</v>
      </c>
      <c r="AT273" s="36">
        <f t="shared" si="217"/>
        <v>-0.018622132296243283</v>
      </c>
      <c r="AU273" s="4">
        <f t="shared" si="218"/>
        <v>34.2909708171288</v>
      </c>
      <c r="AV273" s="4">
        <f t="shared" si="204"/>
        <v>0.3902207743194097</v>
      </c>
      <c r="AW273" s="4">
        <f t="shared" si="200"/>
        <v>0.028691155618858648</v>
      </c>
      <c r="AX273" s="3">
        <f t="shared" si="219"/>
        <v>67.8</v>
      </c>
      <c r="AY273" s="36">
        <f t="shared" si="205"/>
        <v>-0.4</v>
      </c>
      <c r="AZ273" s="36">
        <f t="shared" si="228"/>
        <v>-0.8000000000000002</v>
      </c>
      <c r="BA273" s="36">
        <f t="shared" si="206"/>
        <v>-0.1</v>
      </c>
      <c r="BB273" s="6">
        <f t="shared" si="190"/>
        <v>1.790670083694422</v>
      </c>
      <c r="BC273" s="6">
        <f t="shared" si="248"/>
        <v>0.024288860433329784</v>
      </c>
      <c r="BD273" s="4">
        <f t="shared" si="241"/>
        <v>0.7561998889197863</v>
      </c>
      <c r="BE273" s="4">
        <f>SUMPRODUCT(BC$4:BC273,$BD$85:BD$354)</f>
        <v>1.060105013288082</v>
      </c>
      <c r="BF273" s="23">
        <f t="shared" si="242"/>
        <v>1.060105013288082</v>
      </c>
      <c r="BG273" s="4">
        <f t="shared" si="207"/>
        <v>0.3574636754963101</v>
      </c>
    </row>
    <row r="274" spans="5:59" ht="15">
      <c r="E274" s="1">
        <f t="shared" si="243"/>
        <v>270</v>
      </c>
      <c r="F274" s="1">
        <f t="shared" si="229"/>
        <v>2020</v>
      </c>
      <c r="G274" s="3">
        <f t="shared" si="208"/>
        <v>3.13</v>
      </c>
      <c r="H274" s="3">
        <f t="shared" si="209"/>
        <v>0.43</v>
      </c>
      <c r="I274" s="5">
        <f t="shared" si="230"/>
        <v>0.8324814165326956</v>
      </c>
      <c r="J274" s="5">
        <f t="shared" si="251"/>
        <v>1.1885207443519037</v>
      </c>
      <c r="K274" s="4">
        <f t="shared" si="231"/>
        <v>1.538997839115401</v>
      </c>
      <c r="L274" s="4">
        <f t="shared" si="232"/>
        <v>0.0015632533020197906</v>
      </c>
      <c r="M274" s="4">
        <f t="shared" si="225"/>
        <v>6.172079044856183</v>
      </c>
      <c r="N274" s="4">
        <f t="shared" si="233"/>
        <v>0.009648522947198583</v>
      </c>
      <c r="O274" s="4">
        <f>SUMPRODUCT($M$4:M274,L$84:$L$354)</f>
        <v>4.40472099755727</v>
      </c>
      <c r="P274" s="4">
        <f t="shared" si="234"/>
        <v>1.767358047298913</v>
      </c>
      <c r="Q274" s="4">
        <f t="shared" si="244"/>
        <v>59.310308501014326</v>
      </c>
      <c r="R274" s="4">
        <f t="shared" si="245"/>
        <v>92.82435689607496</v>
      </c>
      <c r="S274" s="4">
        <f t="shared" si="249"/>
        <v>0.06114922392416885</v>
      </c>
      <c r="T274" s="5">
        <f t="shared" si="246"/>
        <v>389.9232238266746</v>
      </c>
      <c r="U274" s="4">
        <f t="shared" si="235"/>
        <v>400.7006479997592</v>
      </c>
      <c r="V274" s="4">
        <f t="shared" si="226"/>
        <v>0.0726771211348944</v>
      </c>
      <c r="W274" s="4">
        <f>SUMPRODUCT($J$4:J274,$S$84:S$354)</f>
        <v>9.44769110251159</v>
      </c>
      <c r="X274" s="6">
        <f t="shared" si="192"/>
        <v>1.9175739192787793</v>
      </c>
      <c r="Y274" s="4">
        <f t="shared" si="236"/>
        <v>2020</v>
      </c>
      <c r="Z274" s="4">
        <f t="shared" si="247"/>
        <v>270</v>
      </c>
      <c r="AA274" s="3">
        <f t="shared" si="210"/>
        <v>114.11</v>
      </c>
      <c r="AB274" s="6">
        <f t="shared" si="237"/>
        <v>220.4453745</v>
      </c>
      <c r="AC274" s="4">
        <f t="shared" si="221"/>
        <v>218.57495817058552</v>
      </c>
      <c r="AD274" s="4">
        <f t="shared" si="222"/>
        <v>8.540793909225693</v>
      </c>
      <c r="AE274" s="4">
        <f aca="true" t="shared" si="252" ref="AE274:AE337">AB274-AC274</f>
        <v>1.8704163294144962</v>
      </c>
      <c r="AF274" s="6">
        <f t="shared" si="211"/>
        <v>1866.8036714525974</v>
      </c>
      <c r="AG274" s="30">
        <f t="shared" si="250"/>
        <v>0.5746743241453586</v>
      </c>
      <c r="AH274" s="3">
        <f t="shared" si="212"/>
        <v>1.4553</v>
      </c>
      <c r="AI274" s="47">
        <f t="shared" si="238"/>
        <v>3.4303</v>
      </c>
      <c r="AJ274" s="4">
        <f t="shared" si="223"/>
        <v>2.7561532204605452</v>
      </c>
      <c r="AK274" s="4">
        <f t="shared" si="201"/>
        <v>120</v>
      </c>
      <c r="AL274" s="4">
        <f t="shared" si="202"/>
        <v>0.6741467795394547</v>
      </c>
      <c r="AM274" s="4">
        <f t="shared" si="213"/>
        <v>330.7383864552654</v>
      </c>
      <c r="AN274" s="26">
        <f t="shared" si="239"/>
        <v>0.20325500214294662</v>
      </c>
      <c r="AO274" s="4">
        <f t="shared" si="240"/>
        <v>0.9812063762625393</v>
      </c>
      <c r="AP274" s="3">
        <f t="shared" si="214"/>
        <v>30</v>
      </c>
      <c r="AQ274" s="3">
        <f t="shared" si="215"/>
        <v>870</v>
      </c>
      <c r="AR274" s="21">
        <f t="shared" si="216"/>
        <v>138</v>
      </c>
      <c r="AS274" s="35">
        <f t="shared" si="227"/>
        <v>0.11708513407867255</v>
      </c>
      <c r="AT274" s="36">
        <f t="shared" si="217"/>
        <v>-0.0189724681858364</v>
      </c>
      <c r="AU274" s="4">
        <f t="shared" si="218"/>
        <v>34.296444815403696</v>
      </c>
      <c r="AV274" s="4">
        <f t="shared" si="204"/>
        <v>0.3904506822469552</v>
      </c>
      <c r="AW274" s="4">
        <f t="shared" si="200"/>
        <v>0.028733716207267928</v>
      </c>
      <c r="AX274" s="3">
        <f t="shared" si="219"/>
        <v>67.8</v>
      </c>
      <c r="AY274" s="36">
        <f t="shared" si="205"/>
        <v>-0.4</v>
      </c>
      <c r="AZ274" s="36">
        <f t="shared" si="228"/>
        <v>-0.8000000000000002</v>
      </c>
      <c r="BA274" s="36">
        <f t="shared" si="206"/>
        <v>-0.1</v>
      </c>
      <c r="BB274" s="6">
        <f t="shared" si="190"/>
        <v>1.8146876440213071</v>
      </c>
      <c r="BC274" s="6">
        <f t="shared" si="248"/>
        <v>0.024017560326885068</v>
      </c>
      <c r="BD274" s="4">
        <f t="shared" si="241"/>
        <v>0.7554668504591718</v>
      </c>
      <c r="BE274" s="4">
        <f>SUMPRODUCT(BC$4:BC274,$BD$84:BD$354)</f>
        <v>1.0794536781443609</v>
      </c>
      <c r="BF274" s="23">
        <f t="shared" si="242"/>
        <v>1.0794536781443609</v>
      </c>
      <c r="BG274" s="4">
        <f t="shared" si="207"/>
        <v>0.3768123403525889</v>
      </c>
    </row>
    <row r="275" spans="5:59" ht="15">
      <c r="E275" s="1">
        <f t="shared" si="243"/>
        <v>271</v>
      </c>
      <c r="F275" s="1">
        <f t="shared" si="229"/>
        <v>2021</v>
      </c>
      <c r="G275" s="3">
        <f t="shared" si="208"/>
        <v>3.13</v>
      </c>
      <c r="H275" s="3">
        <f t="shared" si="209"/>
        <v>0.43</v>
      </c>
      <c r="I275" s="5">
        <f t="shared" si="230"/>
        <v>0.8349688279737184</v>
      </c>
      <c r="J275" s="5">
        <f t="shared" si="251"/>
        <v>1.190641633613101</v>
      </c>
      <c r="K275" s="4">
        <f t="shared" si="231"/>
        <v>1.5343895384131807</v>
      </c>
      <c r="L275" s="4">
        <f t="shared" si="232"/>
        <v>0.0015890916635102673</v>
      </c>
      <c r="M275" s="4">
        <f t="shared" si="225"/>
        <v>6.238090367108508</v>
      </c>
      <c r="N275" s="4">
        <f t="shared" si="233"/>
        <v>0.009912897398595832</v>
      </c>
      <c r="O275" s="4">
        <f>SUMPRODUCT($M$4:M275,L$83:$L$354)</f>
        <v>4.465451545320303</v>
      </c>
      <c r="P275" s="4">
        <f t="shared" si="234"/>
        <v>1.7726388217882043</v>
      </c>
      <c r="Q275" s="4">
        <f t="shared" si="244"/>
        <v>59.92237229659285</v>
      </c>
      <c r="R275" s="4">
        <f t="shared" si="245"/>
        <v>93.9709460078026</v>
      </c>
      <c r="S275" s="4">
        <f t="shared" si="249"/>
        <v>0.06149786694972369</v>
      </c>
      <c r="T275" s="5">
        <f t="shared" si="246"/>
        <v>391.44264361088983</v>
      </c>
      <c r="U275" s="4">
        <f t="shared" si="235"/>
        <v>402.2396458388746</v>
      </c>
      <c r="V275" s="4">
        <f t="shared" si="226"/>
        <v>0.07322192076874014</v>
      </c>
      <c r="W275" s="4">
        <f>SUMPRODUCT($J$4:J275,$S$83:S$354)</f>
        <v>9.543480863841586</v>
      </c>
      <c r="X275" s="6">
        <f t="shared" si="192"/>
        <v>1.9380826634164063</v>
      </c>
      <c r="Y275" s="4">
        <f t="shared" si="236"/>
        <v>2021</v>
      </c>
      <c r="Z275" s="4">
        <f t="shared" si="247"/>
        <v>271</v>
      </c>
      <c r="AA275" s="3">
        <f t="shared" si="210"/>
        <v>114.11</v>
      </c>
      <c r="AB275" s="6">
        <f t="shared" si="237"/>
        <v>220.4453745</v>
      </c>
      <c r="AC275" s="4">
        <f t="shared" si="221"/>
        <v>218.7326320471289</v>
      </c>
      <c r="AD275" s="4">
        <f t="shared" si="222"/>
        <v>8.54318841360342</v>
      </c>
      <c r="AE275" s="4">
        <f t="shared" si="252"/>
        <v>1.7127424528711117</v>
      </c>
      <c r="AF275" s="6">
        <f t="shared" si="211"/>
        <v>1868.6740877820118</v>
      </c>
      <c r="AG275" s="30">
        <f t="shared" si="250"/>
        <v>0.5754533515300359</v>
      </c>
      <c r="AH275" s="3">
        <f t="shared" si="212"/>
        <v>1.4553</v>
      </c>
      <c r="AI275" s="47">
        <f t="shared" si="238"/>
        <v>3.4303</v>
      </c>
      <c r="AJ275" s="4">
        <f t="shared" si="223"/>
        <v>2.7617711102900406</v>
      </c>
      <c r="AK275" s="4">
        <f t="shared" si="201"/>
        <v>120</v>
      </c>
      <c r="AL275" s="4">
        <f t="shared" si="202"/>
        <v>0.6685288897099593</v>
      </c>
      <c r="AM275" s="4">
        <f t="shared" si="213"/>
        <v>331.41253323480487</v>
      </c>
      <c r="AN275" s="26">
        <f t="shared" si="239"/>
        <v>0.20547801654014136</v>
      </c>
      <c r="AO275" s="4">
        <f t="shared" si="240"/>
        <v>0.9808919904656469</v>
      </c>
      <c r="AP275" s="3">
        <f t="shared" si="214"/>
        <v>30</v>
      </c>
      <c r="AQ275" s="3">
        <f t="shared" si="215"/>
        <v>870</v>
      </c>
      <c r="AR275" s="21">
        <f t="shared" si="216"/>
        <v>138</v>
      </c>
      <c r="AS275" s="35">
        <f t="shared" si="227"/>
        <v>0.11705231718964411</v>
      </c>
      <c r="AT275" s="36">
        <f t="shared" si="217"/>
        <v>-0.019292926940518495</v>
      </c>
      <c r="AU275" s="4">
        <f t="shared" si="218"/>
        <v>34.3014519834456</v>
      </c>
      <c r="AV275" s="4">
        <f t="shared" si="204"/>
        <v>0.3906609833047153</v>
      </c>
      <c r="AW275" s="4">
        <f t="shared" si="200"/>
        <v>0.028772667576501793</v>
      </c>
      <c r="AX275" s="3">
        <f t="shared" si="219"/>
        <v>67.8</v>
      </c>
      <c r="AY275" s="36">
        <f t="shared" si="205"/>
        <v>-0.4</v>
      </c>
      <c r="AZ275" s="36">
        <f t="shared" si="228"/>
        <v>-0.8000000000000002</v>
      </c>
      <c r="BA275" s="36">
        <f t="shared" si="206"/>
        <v>-0.1</v>
      </c>
      <c r="BB275" s="6">
        <f t="shared" si="190"/>
        <v>1.8384476823678004</v>
      </c>
      <c r="BC275" s="6">
        <f t="shared" si="248"/>
        <v>0.023760038346493317</v>
      </c>
      <c r="BD275" s="4">
        <f t="shared" si="241"/>
        <v>0.7547193208721793</v>
      </c>
      <c r="BE275" s="4">
        <f>SUMPRODUCT(BC$4:BC275,$BD$83:BD$354)</f>
        <v>1.0987345040863694</v>
      </c>
      <c r="BF275" s="23">
        <f t="shared" si="242"/>
        <v>1.0987345040863694</v>
      </c>
      <c r="BG275" s="4">
        <f t="shared" si="207"/>
        <v>0.39609316629459745</v>
      </c>
    </row>
    <row r="276" spans="5:59" ht="15">
      <c r="E276" s="1">
        <f t="shared" si="243"/>
        <v>272</v>
      </c>
      <c r="F276" s="1">
        <f t="shared" si="229"/>
        <v>2022</v>
      </c>
      <c r="G276" s="3">
        <f t="shared" si="208"/>
        <v>3.13</v>
      </c>
      <c r="H276" s="3">
        <f t="shared" si="209"/>
        <v>0.43</v>
      </c>
      <c r="I276" s="5">
        <f t="shared" si="230"/>
        <v>0.8373516502918292</v>
      </c>
      <c r="J276" s="5">
        <f t="shared" si="251"/>
        <v>1.192718493251553</v>
      </c>
      <c r="K276" s="4">
        <f t="shared" si="231"/>
        <v>1.5299298564566177</v>
      </c>
      <c r="L276" s="4">
        <f t="shared" si="232"/>
        <v>0.0016157089480617233</v>
      </c>
      <c r="M276" s="4">
        <f t="shared" si="225"/>
        <v>6.303653075000887</v>
      </c>
      <c r="N276" s="4">
        <f t="shared" si="233"/>
        <v>0.01018486867875573</v>
      </c>
      <c r="O276" s="4">
        <f>SUMPRODUCT($M$4:M276,L$82:$L$354)</f>
        <v>4.525955521431333</v>
      </c>
      <c r="P276" s="4">
        <f t="shared" si="234"/>
        <v>1.7776975535695536</v>
      </c>
      <c r="Q276" s="4">
        <f t="shared" si="244"/>
        <v>60.52992282701735</v>
      </c>
      <c r="R276" s="4">
        <f t="shared" si="245"/>
        <v>95.11354113784893</v>
      </c>
      <c r="S276" s="4">
        <f t="shared" si="249"/>
        <v>0.06185321061290372</v>
      </c>
      <c r="T276" s="5">
        <f t="shared" si="246"/>
        <v>392.9589785075544</v>
      </c>
      <c r="U276" s="4">
        <f t="shared" si="235"/>
        <v>403.77403537728776</v>
      </c>
      <c r="V276" s="4">
        <f t="shared" si="226"/>
        <v>0.0737734681649935</v>
      </c>
      <c r="W276" s="4">
        <f>SUMPRODUCT($J$4:J276,$S$82:S$354)</f>
        <v>9.638529000658533</v>
      </c>
      <c r="X276" s="6">
        <f t="shared" si="192"/>
        <v>1.9584520296895902</v>
      </c>
      <c r="Y276" s="4">
        <f t="shared" si="236"/>
        <v>2022</v>
      </c>
      <c r="Z276" s="4">
        <f t="shared" si="247"/>
        <v>272</v>
      </c>
      <c r="AA276" s="3">
        <f t="shared" si="210"/>
        <v>114.11</v>
      </c>
      <c r="AB276" s="6">
        <f t="shared" si="237"/>
        <v>220.4453745</v>
      </c>
      <c r="AC276" s="4">
        <f t="shared" si="221"/>
        <v>218.8769776161472</v>
      </c>
      <c r="AD276" s="4">
        <f t="shared" si="222"/>
        <v>8.545379466610923</v>
      </c>
      <c r="AE276" s="4">
        <f t="shared" si="252"/>
        <v>1.568396883852813</v>
      </c>
      <c r="AF276" s="6">
        <f t="shared" si="211"/>
        <v>1870.3868302348828</v>
      </c>
      <c r="AG276" s="30">
        <f t="shared" si="250"/>
        <v>0.5761663659389873</v>
      </c>
      <c r="AH276" s="3">
        <f t="shared" si="212"/>
        <v>1.4553</v>
      </c>
      <c r="AI276" s="47">
        <f t="shared" si="238"/>
        <v>3.4303</v>
      </c>
      <c r="AJ276" s="4">
        <f t="shared" si="223"/>
        <v>2.7673421843709565</v>
      </c>
      <c r="AK276" s="4">
        <f t="shared" si="201"/>
        <v>120</v>
      </c>
      <c r="AL276" s="4">
        <f t="shared" si="202"/>
        <v>0.6629578156290434</v>
      </c>
      <c r="AM276" s="4">
        <f t="shared" si="213"/>
        <v>332.0810621245148</v>
      </c>
      <c r="AN276" s="26">
        <f t="shared" si="239"/>
        <v>0.20768027412974602</v>
      </c>
      <c r="AO276" s="4">
        <f t="shared" si="240"/>
        <v>0.9806044711300272</v>
      </c>
      <c r="AP276" s="3">
        <f t="shared" si="214"/>
        <v>30</v>
      </c>
      <c r="AQ276" s="3">
        <f t="shared" si="215"/>
        <v>870</v>
      </c>
      <c r="AR276" s="21">
        <f t="shared" si="216"/>
        <v>138</v>
      </c>
      <c r="AS276" s="35">
        <f t="shared" si="227"/>
        <v>0.11702230473289885</v>
      </c>
      <c r="AT276" s="36">
        <f t="shared" si="217"/>
        <v>-0.01958609018940351</v>
      </c>
      <c r="AU276" s="4">
        <f t="shared" si="218"/>
        <v>34.30603265920943</v>
      </c>
      <c r="AV276" s="4">
        <f t="shared" si="204"/>
        <v>0.390853371686796</v>
      </c>
      <c r="AW276" s="4">
        <f t="shared" si="200"/>
        <v>0.028808318296949367</v>
      </c>
      <c r="AX276" s="3">
        <f t="shared" si="219"/>
        <v>67.8</v>
      </c>
      <c r="AY276" s="36">
        <f t="shared" si="205"/>
        <v>-0.4</v>
      </c>
      <c r="AZ276" s="36">
        <f t="shared" si="228"/>
        <v>-0.8000000000000002</v>
      </c>
      <c r="BA276" s="36">
        <f t="shared" si="206"/>
        <v>-0.1</v>
      </c>
      <c r="BB276" s="6">
        <f t="shared" si="190"/>
        <v>1.8619603597420686</v>
      </c>
      <c r="BC276" s="6">
        <f t="shared" si="248"/>
        <v>0.02351267737426821</v>
      </c>
      <c r="BD276" s="4">
        <f t="shared" si="241"/>
        <v>0.7539563450359569</v>
      </c>
      <c r="BE276" s="4">
        <f>SUMPRODUCT(BC$4:BC276,$BD$82:BD$354)</f>
        <v>1.1179404714139707</v>
      </c>
      <c r="BF276" s="23">
        <f t="shared" si="242"/>
        <v>1.1179404714139707</v>
      </c>
      <c r="BG276" s="4">
        <f t="shared" si="207"/>
        <v>0.4152991336221987</v>
      </c>
    </row>
    <row r="277" spans="5:59" ht="15">
      <c r="E277" s="1">
        <f t="shared" si="243"/>
        <v>273</v>
      </c>
      <c r="F277" s="1">
        <f t="shared" si="229"/>
        <v>2023</v>
      </c>
      <c r="G277" s="3">
        <f t="shared" si="208"/>
        <v>3.13</v>
      </c>
      <c r="H277" s="3">
        <f t="shared" si="209"/>
        <v>0.43</v>
      </c>
      <c r="I277" s="5">
        <f t="shared" si="230"/>
        <v>0.8396338113681814</v>
      </c>
      <c r="J277" s="5">
        <f t="shared" si="251"/>
        <v>1.1946682717140171</v>
      </c>
      <c r="K277" s="4">
        <f t="shared" si="231"/>
        <v>1.5256979169178018</v>
      </c>
      <c r="L277" s="4">
        <f t="shared" si="232"/>
        <v>0.0016431396061803623</v>
      </c>
      <c r="M277" s="4">
        <f t="shared" si="225"/>
        <v>6.368777632854423</v>
      </c>
      <c r="N277" s="4">
        <f t="shared" si="233"/>
        <v>0.010464790771498715</v>
      </c>
      <c r="O277" s="4">
        <f>SUMPRODUCT($M$4:M277,L$81:$L$354)</f>
        <v>4.586235051319774</v>
      </c>
      <c r="P277" s="4">
        <f t="shared" si="234"/>
        <v>1.7825425815346492</v>
      </c>
      <c r="Q277" s="4">
        <f t="shared" si="244"/>
        <v>61.132769573237546</v>
      </c>
      <c r="R277" s="4">
        <f t="shared" si="245"/>
        <v>96.25170574716837</v>
      </c>
      <c r="S277" s="4">
        <f t="shared" si="249"/>
        <v>0.06221549844099398</v>
      </c>
      <c r="T277" s="5">
        <f t="shared" si="246"/>
        <v>394.47163302001974</v>
      </c>
      <c r="U277" s="4">
        <f t="shared" si="235"/>
        <v>405.30396523374435</v>
      </c>
      <c r="V277" s="4">
        <f t="shared" si="226"/>
        <v>0.0743268819963284</v>
      </c>
      <c r="W277" s="4">
        <f>SUMPRODUCT($J$4:J277,$S$81:S$354)</f>
        <v>9.732771050040858</v>
      </c>
      <c r="X277" s="6">
        <f t="shared" si="192"/>
        <v>1.978685269208546</v>
      </c>
      <c r="Y277" s="4">
        <f t="shared" si="236"/>
        <v>2023</v>
      </c>
      <c r="Z277" s="4">
        <f t="shared" si="247"/>
        <v>273</v>
      </c>
      <c r="AA277" s="3">
        <f t="shared" si="210"/>
        <v>114.11</v>
      </c>
      <c r="AB277" s="6">
        <f t="shared" si="237"/>
        <v>220.4453745</v>
      </c>
      <c r="AC277" s="4">
        <f t="shared" si="221"/>
        <v>219.00912746617658</v>
      </c>
      <c r="AD277" s="4">
        <f t="shared" si="222"/>
        <v>8.547384525824556</v>
      </c>
      <c r="AE277" s="4">
        <f t="shared" si="252"/>
        <v>1.4362470338234345</v>
      </c>
      <c r="AF277" s="6">
        <f t="shared" si="211"/>
        <v>1871.9552271187356</v>
      </c>
      <c r="AG277" s="30">
        <f t="shared" si="250"/>
        <v>0.5768190030162541</v>
      </c>
      <c r="AH277" s="3">
        <f t="shared" si="212"/>
        <v>1.4553</v>
      </c>
      <c r="AI277" s="47">
        <f t="shared" si="238"/>
        <v>3.4303</v>
      </c>
      <c r="AJ277" s="4">
        <f t="shared" si="223"/>
        <v>2.772866832834532</v>
      </c>
      <c r="AK277" s="4">
        <f t="shared" si="201"/>
        <v>120</v>
      </c>
      <c r="AL277" s="4">
        <f t="shared" si="202"/>
        <v>0.6574331671654678</v>
      </c>
      <c r="AM277" s="4">
        <f t="shared" si="213"/>
        <v>332.74401994014386</v>
      </c>
      <c r="AN277" s="26">
        <f t="shared" si="239"/>
        <v>0.20986199154911703</v>
      </c>
      <c r="AO277" s="4">
        <f t="shared" si="240"/>
        <v>0.980341487862674</v>
      </c>
      <c r="AP277" s="3">
        <f t="shared" si="214"/>
        <v>30</v>
      </c>
      <c r="AQ277" s="3">
        <f t="shared" si="215"/>
        <v>870</v>
      </c>
      <c r="AR277" s="21">
        <f t="shared" si="216"/>
        <v>138</v>
      </c>
      <c r="AS277" s="35">
        <f t="shared" si="227"/>
        <v>0.11699485345238181</v>
      </c>
      <c r="AT277" s="36">
        <f t="shared" si="217"/>
        <v>-0.019854311011832347</v>
      </c>
      <c r="AU277" s="4">
        <f t="shared" si="218"/>
        <v>34.31022360955988</v>
      </c>
      <c r="AV277" s="4">
        <f t="shared" si="204"/>
        <v>0.39102939160151484</v>
      </c>
      <c r="AW277" s="4">
        <f t="shared" si="200"/>
        <v>0.02884095015081271</v>
      </c>
      <c r="AX277" s="3">
        <f t="shared" si="219"/>
        <v>67.8</v>
      </c>
      <c r="AY277" s="36">
        <f t="shared" si="205"/>
        <v>-0.4</v>
      </c>
      <c r="AZ277" s="36">
        <f t="shared" si="228"/>
        <v>-0.8000000000000002</v>
      </c>
      <c r="BA277" s="36">
        <f t="shared" si="206"/>
        <v>-0.1</v>
      </c>
      <c r="BB277" s="6">
        <f t="shared" si="190"/>
        <v>1.8852366055262442</v>
      </c>
      <c r="BC277" s="6">
        <f t="shared" si="248"/>
        <v>0.02327624578417553</v>
      </c>
      <c r="BD277" s="4">
        <f t="shared" si="241"/>
        <v>0.7531768993402577</v>
      </c>
      <c r="BE277" s="4">
        <f>SUMPRODUCT(BC$4:BC277,$BD$81:BD$354)</f>
        <v>1.1370655090957518</v>
      </c>
      <c r="BF277" s="23">
        <f t="shared" si="242"/>
        <v>1.1370655090957518</v>
      </c>
      <c r="BG277" s="4">
        <f t="shared" si="207"/>
        <v>0.4344241713039798</v>
      </c>
    </row>
    <row r="278" spans="5:59" ht="15">
      <c r="E278" s="1">
        <f t="shared" si="243"/>
        <v>274</v>
      </c>
      <c r="F278" s="1">
        <f t="shared" si="229"/>
        <v>2024</v>
      </c>
      <c r="G278" s="3">
        <f t="shared" si="208"/>
        <v>3.13</v>
      </c>
      <c r="H278" s="3">
        <f t="shared" si="209"/>
        <v>0.43</v>
      </c>
      <c r="I278" s="5">
        <f t="shared" si="230"/>
        <v>0.8418208115875944</v>
      </c>
      <c r="J278" s="5">
        <f t="shared" si="251"/>
        <v>1.1966011076380259</v>
      </c>
      <c r="K278" s="4">
        <f t="shared" si="231"/>
        <v>1.52157808077438</v>
      </c>
      <c r="L278" s="4">
        <f t="shared" si="232"/>
        <v>0.0016714197995678927</v>
      </c>
      <c r="M278" s="4">
        <f t="shared" si="225"/>
        <v>6.433477697273775</v>
      </c>
      <c r="N278" s="4">
        <f t="shared" si="233"/>
        <v>0.01075304200330184</v>
      </c>
      <c r="O278" s="4">
        <f>SUMPRODUCT($M$4:M278,L$80:$L$354)</f>
        <v>4.646292114273312</v>
      </c>
      <c r="P278" s="4">
        <f t="shared" si="234"/>
        <v>1.787185583000463</v>
      </c>
      <c r="Q278" s="4">
        <f t="shared" si="244"/>
        <v>61.73050367650224</v>
      </c>
      <c r="R278" s="4">
        <f t="shared" si="245"/>
        <v>97.3845830032383</v>
      </c>
      <c r="S278" s="4">
        <f t="shared" si="249"/>
        <v>0.06258498584885167</v>
      </c>
      <c r="T278" s="5">
        <f t="shared" si="246"/>
        <v>395.97958329398574</v>
      </c>
      <c r="U278" s="4">
        <f t="shared" si="235"/>
        <v>406.82966315066216</v>
      </c>
      <c r="V278" s="4">
        <f t="shared" si="226"/>
        <v>0.07488926338824607</v>
      </c>
      <c r="W278" s="4">
        <f>SUMPRODUCT($J$4:J278,$S$80:S$354)</f>
        <v>9.826301935768257</v>
      </c>
      <c r="X278" s="6">
        <f t="shared" si="192"/>
        <v>1.9987866248789021</v>
      </c>
      <c r="Y278" s="4">
        <f t="shared" si="236"/>
        <v>2024</v>
      </c>
      <c r="Z278" s="4">
        <f t="shared" si="247"/>
        <v>274</v>
      </c>
      <c r="AA278" s="3">
        <f t="shared" si="210"/>
        <v>114.11</v>
      </c>
      <c r="AB278" s="6">
        <f t="shared" si="237"/>
        <v>220.4453745</v>
      </c>
      <c r="AC278" s="4">
        <f t="shared" si="221"/>
        <v>219.13011697813442</v>
      </c>
      <c r="AD278" s="4">
        <f t="shared" si="222"/>
        <v>8.549219523026553</v>
      </c>
      <c r="AE278" s="4">
        <f t="shared" si="252"/>
        <v>1.3152575218655898</v>
      </c>
      <c r="AF278" s="6">
        <f t="shared" si="211"/>
        <v>1873.391474152559</v>
      </c>
      <c r="AG278" s="30">
        <f t="shared" si="250"/>
        <v>0.5774164104780216</v>
      </c>
      <c r="AH278" s="3">
        <f t="shared" si="212"/>
        <v>1.4553</v>
      </c>
      <c r="AI278" s="47">
        <f t="shared" si="238"/>
        <v>3.4303</v>
      </c>
      <c r="AJ278" s="4">
        <f t="shared" si="223"/>
        <v>2.7783454425609113</v>
      </c>
      <c r="AK278" s="4">
        <f t="shared" si="201"/>
        <v>120</v>
      </c>
      <c r="AL278" s="4">
        <f t="shared" si="202"/>
        <v>0.6519545574390886</v>
      </c>
      <c r="AM278" s="4">
        <f t="shared" si="213"/>
        <v>333.40145310730935</v>
      </c>
      <c r="AN278" s="26">
        <f t="shared" si="239"/>
        <v>0.21202338270907362</v>
      </c>
      <c r="AO278" s="4">
        <f t="shared" si="240"/>
        <v>0.9801009180088152</v>
      </c>
      <c r="AP278" s="3">
        <f t="shared" si="214"/>
        <v>30</v>
      </c>
      <c r="AQ278" s="3">
        <f t="shared" si="215"/>
        <v>870</v>
      </c>
      <c r="AR278" s="21">
        <f t="shared" si="216"/>
        <v>138</v>
      </c>
      <c r="AS278" s="35">
        <f t="shared" si="227"/>
        <v>0.11696974177661366</v>
      </c>
      <c r="AT278" s="36">
        <f t="shared" si="217"/>
        <v>-0.02009973505932897</v>
      </c>
      <c r="AU278" s="4">
        <f t="shared" si="218"/>
        <v>34.31405836030201</v>
      </c>
      <c r="AV278" s="4">
        <f t="shared" si="204"/>
        <v>0.3911904511326846</v>
      </c>
      <c r="AW278" s="4">
        <f t="shared" si="200"/>
        <v>0.028870820523901084</v>
      </c>
      <c r="AX278" s="3">
        <f t="shared" si="219"/>
        <v>67.8</v>
      </c>
      <c r="AY278" s="36">
        <f t="shared" si="205"/>
        <v>-0.4</v>
      </c>
      <c r="AZ278" s="36">
        <f t="shared" si="228"/>
        <v>-0.8000000000000002</v>
      </c>
      <c r="BA278" s="36">
        <f t="shared" si="206"/>
        <v>-0.1</v>
      </c>
      <c r="BB278" s="6">
        <f t="shared" si="190"/>
        <v>1.9082876897225827</v>
      </c>
      <c r="BC278" s="6">
        <f t="shared" si="248"/>
        <v>0.0230510841963385</v>
      </c>
      <c r="BD278" s="4">
        <f t="shared" si="241"/>
        <v>0.7523798867627886</v>
      </c>
      <c r="BE278" s="4">
        <f>SUMPRODUCT(BC$4:BC278,$BD$80:BD$354)</f>
        <v>1.1561044686931317</v>
      </c>
      <c r="BF278" s="23">
        <f t="shared" si="242"/>
        <v>1.1561044686931317</v>
      </c>
      <c r="BG278" s="4">
        <f t="shared" si="207"/>
        <v>0.4534631309013597</v>
      </c>
    </row>
    <row r="279" spans="5:59" ht="15">
      <c r="E279" s="1">
        <f t="shared" si="243"/>
        <v>275</v>
      </c>
      <c r="F279" s="1">
        <f t="shared" si="229"/>
        <v>2025</v>
      </c>
      <c r="G279" s="3">
        <f t="shared" si="208"/>
        <v>3.13</v>
      </c>
      <c r="H279" s="3">
        <f t="shared" si="209"/>
        <v>0.43</v>
      </c>
      <c r="I279" s="5">
        <f t="shared" si="230"/>
        <v>0.843915701078458</v>
      </c>
      <c r="J279" s="5">
        <f t="shared" si="251"/>
        <v>1.1985371681933963</v>
      </c>
      <c r="K279" s="4">
        <f t="shared" si="231"/>
        <v>1.5175471307281458</v>
      </c>
      <c r="L279" s="4">
        <f t="shared" si="232"/>
        <v>0.0017005874883078064</v>
      </c>
      <c r="M279" s="4">
        <f t="shared" si="225"/>
        <v>6.497761845342196</v>
      </c>
      <c r="N279" s="4">
        <f t="shared" si="233"/>
        <v>0.011050012496192783</v>
      </c>
      <c r="O279" s="4">
        <f>SUMPRODUCT($M$4:M279,L$79:$L$354)</f>
        <v>4.706128811952629</v>
      </c>
      <c r="P279" s="4">
        <f t="shared" si="234"/>
        <v>1.7916330333895667</v>
      </c>
      <c r="Q279" s="4">
        <f t="shared" si="244"/>
        <v>62.32372719481745</v>
      </c>
      <c r="R279" s="4">
        <f t="shared" si="245"/>
        <v>98.51323110813989</v>
      </c>
      <c r="S279" s="4">
        <f t="shared" si="249"/>
        <v>0.06296194078306963</v>
      </c>
      <c r="T279" s="5">
        <f t="shared" si="246"/>
        <v>397.4838276004486</v>
      </c>
      <c r="U279" s="4">
        <f t="shared" si="235"/>
        <v>408.3512412314365</v>
      </c>
      <c r="V279" s="4">
        <f t="shared" si="226"/>
        <v>0.07546222621010058</v>
      </c>
      <c r="W279" s="4">
        <f>SUMPRODUCT($J$4:J279,$S$79:S$354)</f>
        <v>9.919179252097893</v>
      </c>
      <c r="X279" s="6">
        <f t="shared" si="192"/>
        <v>2.018758761473911</v>
      </c>
      <c r="Y279" s="4">
        <f t="shared" si="236"/>
        <v>2025</v>
      </c>
      <c r="Z279" s="4">
        <f t="shared" si="247"/>
        <v>275</v>
      </c>
      <c r="AA279" s="3">
        <f t="shared" si="210"/>
        <v>114.11</v>
      </c>
      <c r="AB279" s="6">
        <f t="shared" si="237"/>
        <v>220.4453745</v>
      </c>
      <c r="AC279" s="4">
        <f t="shared" si="221"/>
        <v>219.24089282539555</v>
      </c>
      <c r="AD279" s="4">
        <f t="shared" si="222"/>
        <v>8.550899002073713</v>
      </c>
      <c r="AE279" s="4">
        <f t="shared" si="252"/>
        <v>1.204481674604466</v>
      </c>
      <c r="AF279" s="6">
        <f t="shared" si="211"/>
        <v>1874.7067316744246</v>
      </c>
      <c r="AG279" s="30">
        <f t="shared" si="250"/>
        <v>0.5779632914627312</v>
      </c>
      <c r="AH279" s="3">
        <f t="shared" si="212"/>
        <v>1.4553</v>
      </c>
      <c r="AI279" s="47">
        <f t="shared" si="238"/>
        <v>3.4303</v>
      </c>
      <c r="AJ279" s="4">
        <f t="shared" si="223"/>
        <v>2.7837783972062367</v>
      </c>
      <c r="AK279" s="4">
        <f t="shared" si="201"/>
        <v>120</v>
      </c>
      <c r="AL279" s="4">
        <f t="shared" si="202"/>
        <v>0.6465216027937633</v>
      </c>
      <c r="AM279" s="4">
        <f t="shared" si="213"/>
        <v>334.0534076647484</v>
      </c>
      <c r="AN279" s="26">
        <f t="shared" si="239"/>
        <v>0.21416465883806238</v>
      </c>
      <c r="AO279" s="4">
        <f t="shared" si="240"/>
        <v>0.9798808272268512</v>
      </c>
      <c r="AP279" s="3">
        <f t="shared" si="214"/>
        <v>30</v>
      </c>
      <c r="AQ279" s="3">
        <f t="shared" si="215"/>
        <v>870</v>
      </c>
      <c r="AR279" s="21">
        <f t="shared" si="216"/>
        <v>138</v>
      </c>
      <c r="AS279" s="35">
        <f t="shared" si="227"/>
        <v>0.11694676779102244</v>
      </c>
      <c r="AT279" s="36">
        <f t="shared" si="217"/>
        <v>-0.02032431958255117</v>
      </c>
      <c r="AU279" s="4">
        <f t="shared" si="218"/>
        <v>34.31756749347736</v>
      </c>
      <c r="AV279" s="4">
        <f t="shared" si="204"/>
        <v>0.39133783472604927</v>
      </c>
      <c r="AW279" s="4">
        <f t="shared" si="200"/>
        <v>0.02889816457313656</v>
      </c>
      <c r="AX279" s="3">
        <f t="shared" si="219"/>
        <v>67.8</v>
      </c>
      <c r="AY279" s="36">
        <f t="shared" si="205"/>
        <v>-0.4</v>
      </c>
      <c r="AZ279" s="36">
        <f t="shared" si="228"/>
        <v>-0.8000000000000002</v>
      </c>
      <c r="BA279" s="36">
        <f t="shared" si="206"/>
        <v>-0.1</v>
      </c>
      <c r="BB279" s="6">
        <f t="shared" si="190"/>
        <v>1.9311227110738902</v>
      </c>
      <c r="BC279" s="6">
        <f t="shared" si="248"/>
        <v>0.02283502135130755</v>
      </c>
      <c r="BD279" s="4">
        <f t="shared" si="241"/>
        <v>0.7515641315904175</v>
      </c>
      <c r="BE279" s="4">
        <f>SUMPRODUCT(BC$4:BC279,$BD$79:BD$354)</f>
        <v>1.175053079408991</v>
      </c>
      <c r="BF279" s="23">
        <f t="shared" si="242"/>
        <v>1.175053079408991</v>
      </c>
      <c r="BG279" s="4">
        <f t="shared" si="207"/>
        <v>0.4724117416172191</v>
      </c>
    </row>
    <row r="280" spans="5:59" ht="15">
      <c r="E280" s="1">
        <f t="shared" si="243"/>
        <v>276</v>
      </c>
      <c r="F280" s="1">
        <f t="shared" si="229"/>
        <v>2026</v>
      </c>
      <c r="G280" s="3">
        <f t="shared" si="208"/>
        <v>3.13</v>
      </c>
      <c r="H280" s="3">
        <f t="shared" si="209"/>
        <v>0.43</v>
      </c>
      <c r="I280" s="5">
        <f t="shared" si="230"/>
        <v>0.8459210243568575</v>
      </c>
      <c r="J280" s="5">
        <f t="shared" si="251"/>
        <v>1.200401680418881</v>
      </c>
      <c r="K280" s="4">
        <f t="shared" si="231"/>
        <v>1.5136772952242614</v>
      </c>
      <c r="L280" s="4">
        <f t="shared" si="232"/>
        <v>0.0017306825225185288</v>
      </c>
      <c r="M280" s="4">
        <f t="shared" si="225"/>
        <v>6.56163755263348</v>
      </c>
      <c r="N280" s="4">
        <f t="shared" si="233"/>
        <v>0.011356111431444016</v>
      </c>
      <c r="O280" s="4">
        <f>SUMPRODUCT($M$4:M280,L$78:$L$354)</f>
        <v>4.765747217923871</v>
      </c>
      <c r="P280" s="4">
        <f t="shared" si="234"/>
        <v>1.7958903347096085</v>
      </c>
      <c r="Q280" s="4">
        <f t="shared" si="244"/>
        <v>62.91280542214575</v>
      </c>
      <c r="R280" s="4">
        <f t="shared" si="245"/>
        <v>99.63827266112942</v>
      </c>
      <c r="S280" s="4">
        <f t="shared" si="249"/>
        <v>0.06334664440351867</v>
      </c>
      <c r="T280" s="5">
        <f t="shared" si="246"/>
        <v>398.98492354396245</v>
      </c>
      <c r="U280" s="4">
        <f t="shared" si="235"/>
        <v>409.86878836216465</v>
      </c>
      <c r="V280" s="4">
        <f t="shared" si="226"/>
        <v>0.07604141839088112</v>
      </c>
      <c r="W280" s="4">
        <f>SUMPRODUCT($J$4:J280,$S$78:S$354)</f>
        <v>10.01136643544431</v>
      </c>
      <c r="X280" s="6">
        <f t="shared" si="192"/>
        <v>2.0386040015440834</v>
      </c>
      <c r="Y280" s="4">
        <f t="shared" si="236"/>
        <v>2026</v>
      </c>
      <c r="Z280" s="4">
        <f t="shared" si="247"/>
        <v>276</v>
      </c>
      <c r="AA280" s="3">
        <f t="shared" si="210"/>
        <v>114.11</v>
      </c>
      <c r="AB280" s="6">
        <f t="shared" si="237"/>
        <v>220.4453745</v>
      </c>
      <c r="AC280" s="4">
        <f t="shared" si="221"/>
        <v>219.34232070507633</v>
      </c>
      <c r="AD280" s="4">
        <f t="shared" si="222"/>
        <v>8.552436243579939</v>
      </c>
      <c r="AE280" s="4">
        <f t="shared" si="252"/>
        <v>1.1030537949236816</v>
      </c>
      <c r="AF280" s="6">
        <f t="shared" si="211"/>
        <v>1875.9112133490291</v>
      </c>
      <c r="AG280" s="30">
        <f t="shared" si="250"/>
        <v>0.5784639438505264</v>
      </c>
      <c r="AH280" s="3">
        <f t="shared" si="212"/>
        <v>1.4553</v>
      </c>
      <c r="AI280" s="47">
        <f t="shared" si="238"/>
        <v>3.4303</v>
      </c>
      <c r="AJ280" s="4">
        <f t="shared" si="223"/>
        <v>2.789166077229518</v>
      </c>
      <c r="AK280" s="4">
        <f t="shared" si="201"/>
        <v>120</v>
      </c>
      <c r="AL280" s="4">
        <f t="shared" si="202"/>
        <v>0.6411339227704818</v>
      </c>
      <c r="AM280" s="4">
        <f t="shared" si="213"/>
        <v>334.6999292675422</v>
      </c>
      <c r="AN280" s="26">
        <f t="shared" si="239"/>
        <v>0.2162860285253913</v>
      </c>
      <c r="AO280" s="4">
        <f t="shared" si="240"/>
        <v>0.9796794520248706</v>
      </c>
      <c r="AP280" s="3">
        <f t="shared" si="214"/>
        <v>30</v>
      </c>
      <c r="AQ280" s="3">
        <f t="shared" si="215"/>
        <v>870</v>
      </c>
      <c r="AR280" s="21">
        <f t="shared" si="216"/>
        <v>138</v>
      </c>
      <c r="AS280" s="35">
        <f t="shared" si="227"/>
        <v>0.11692574741503281</v>
      </c>
      <c r="AT280" s="36">
        <f t="shared" si="217"/>
        <v>-0.020529850593586318</v>
      </c>
      <c r="AU280" s="4">
        <f t="shared" si="218"/>
        <v>34.320778915524784</v>
      </c>
      <c r="AV280" s="4">
        <f t="shared" si="204"/>
        <v>0.39147271445204096</v>
      </c>
      <c r="AW280" s="4">
        <f t="shared" si="200"/>
        <v>0.028923197192526316</v>
      </c>
      <c r="AX280" s="3">
        <f t="shared" si="219"/>
        <v>67.8</v>
      </c>
      <c r="AY280" s="36">
        <f t="shared" si="205"/>
        <v>-0.4</v>
      </c>
      <c r="AZ280" s="36">
        <f t="shared" si="228"/>
        <v>-0.8000000000000002</v>
      </c>
      <c r="BA280" s="36">
        <f t="shared" si="206"/>
        <v>-0.1</v>
      </c>
      <c r="BB280" s="6">
        <f t="shared" si="190"/>
        <v>1.953749885564568</v>
      </c>
      <c r="BC280" s="6">
        <f t="shared" si="248"/>
        <v>0.02262717449067786</v>
      </c>
      <c r="BD280" s="4">
        <f t="shared" si="241"/>
        <v>0.7507283737607698</v>
      </c>
      <c r="BE280" s="4">
        <f>SUMPRODUCT(BC$4:BC280,$BD$78:BD$354)</f>
        <v>1.193907784864609</v>
      </c>
      <c r="BF280" s="23">
        <f t="shared" si="242"/>
        <v>1.193907784864609</v>
      </c>
      <c r="BG280" s="4">
        <f t="shared" si="207"/>
        <v>0.49126644707283695</v>
      </c>
    </row>
    <row r="281" spans="5:59" ht="15">
      <c r="E281" s="1">
        <f t="shared" si="243"/>
        <v>277</v>
      </c>
      <c r="F281" s="1">
        <f t="shared" si="229"/>
        <v>2027</v>
      </c>
      <c r="G281" s="3">
        <f t="shared" si="208"/>
        <v>3.13</v>
      </c>
      <c r="H281" s="3">
        <f t="shared" si="209"/>
        <v>0.43</v>
      </c>
      <c r="I281" s="5">
        <f t="shared" si="230"/>
        <v>0.8478407617302398</v>
      </c>
      <c r="J281" s="5">
        <f t="shared" si="251"/>
        <v>1.2022121423997234</v>
      </c>
      <c r="K281" s="4">
        <f t="shared" si="231"/>
        <v>1.5099470958700367</v>
      </c>
      <c r="L281" s="4">
        <f t="shared" si="232"/>
        <v>0.0017617467387033676</v>
      </c>
      <c r="M281" s="4">
        <f t="shared" si="225"/>
        <v>6.625115209227354</v>
      </c>
      <c r="N281" s="4">
        <f t="shared" si="233"/>
        <v>0.011671775113390369</v>
      </c>
      <c r="O281" s="4">
        <f>SUMPRODUCT($M$4:M281,L$77:$L$354)</f>
        <v>4.8251492720740545</v>
      </c>
      <c r="P281" s="4">
        <f t="shared" si="234"/>
        <v>1.7999659371532992</v>
      </c>
      <c r="Q281" s="4">
        <f t="shared" si="244"/>
        <v>63.49750645243132</v>
      </c>
      <c r="R281" s="4">
        <f t="shared" si="245"/>
        <v>100.75919370036918</v>
      </c>
      <c r="S281" s="4">
        <f t="shared" si="249"/>
        <v>0.0637393918047735</v>
      </c>
      <c r="T281" s="5">
        <f t="shared" si="246"/>
        <v>400.48224645530814</v>
      </c>
      <c r="U281" s="4">
        <f t="shared" si="235"/>
        <v>411.38246565738893</v>
      </c>
      <c r="V281" s="4">
        <f t="shared" si="226"/>
        <v>0.07662827077687212</v>
      </c>
      <c r="W281" s="4">
        <f>SUMPRODUCT($J$4:J281,$S$77:S$354)</f>
        <v>10.102882083256418</v>
      </c>
      <c r="X281" s="6">
        <f t="shared" si="192"/>
        <v>2.058325573133934</v>
      </c>
      <c r="Y281" s="4">
        <f t="shared" si="236"/>
        <v>2027</v>
      </c>
      <c r="Z281" s="4">
        <f t="shared" si="247"/>
        <v>277</v>
      </c>
      <c r="AA281" s="3">
        <f t="shared" si="210"/>
        <v>114.11</v>
      </c>
      <c r="AB281" s="6">
        <f t="shared" si="237"/>
        <v>220.4453745</v>
      </c>
      <c r="AC281" s="4">
        <f t="shared" si="221"/>
        <v>219.4351923741898</v>
      </c>
      <c r="AD281" s="4">
        <f t="shared" si="222"/>
        <v>8.553843377789612</v>
      </c>
      <c r="AE281" s="4">
        <f t="shared" si="252"/>
        <v>1.0101821258102177</v>
      </c>
      <c r="AF281" s="6">
        <f t="shared" si="211"/>
        <v>1877.0142671439528</v>
      </c>
      <c r="AG281" s="30">
        <f t="shared" si="250"/>
        <v>0.5789222959555571</v>
      </c>
      <c r="AH281" s="3">
        <f t="shared" si="212"/>
        <v>1.4553</v>
      </c>
      <c r="AI281" s="47">
        <f t="shared" si="238"/>
        <v>3.4303</v>
      </c>
      <c r="AJ281" s="4">
        <f t="shared" si="223"/>
        <v>2.7945088599192727</v>
      </c>
      <c r="AK281" s="4">
        <f t="shared" si="201"/>
        <v>120</v>
      </c>
      <c r="AL281" s="4">
        <f t="shared" si="202"/>
        <v>0.6357911400807272</v>
      </c>
      <c r="AM281" s="4">
        <f t="shared" si="213"/>
        <v>335.3410631903127</v>
      </c>
      <c r="AN281" s="26">
        <f t="shared" si="239"/>
        <v>0.21838769776355918</v>
      </c>
      <c r="AO281" s="4">
        <f t="shared" si="240"/>
        <v>0.979495184037941</v>
      </c>
      <c r="AP281" s="3">
        <f t="shared" si="214"/>
        <v>30</v>
      </c>
      <c r="AQ281" s="3">
        <f t="shared" si="215"/>
        <v>870</v>
      </c>
      <c r="AR281" s="21">
        <f t="shared" si="216"/>
        <v>138</v>
      </c>
      <c r="AS281" s="35">
        <f t="shared" si="227"/>
        <v>0.11690651276086479</v>
      </c>
      <c r="AT281" s="36">
        <f t="shared" si="217"/>
        <v>-0.02071795836517662</v>
      </c>
      <c r="AU281" s="4">
        <f t="shared" si="218"/>
        <v>34.32371809945588</v>
      </c>
      <c r="AV281" s="4">
        <f t="shared" si="204"/>
        <v>0.39159616017714705</v>
      </c>
      <c r="AW281" s="4">
        <f t="shared" si="200"/>
        <v>0.02894611479777786</v>
      </c>
      <c r="AX281" s="3">
        <f t="shared" si="219"/>
        <v>67.8</v>
      </c>
      <c r="AY281" s="36">
        <f t="shared" si="205"/>
        <v>-0.4</v>
      </c>
      <c r="AZ281" s="36">
        <f t="shared" si="228"/>
        <v>-0.8000000000000002</v>
      </c>
      <c r="BA281" s="36">
        <f t="shared" si="206"/>
        <v>-0.1</v>
      </c>
      <c r="BB281" s="6">
        <f t="shared" si="190"/>
        <v>1.976177841827975</v>
      </c>
      <c r="BC281" s="6">
        <f t="shared" si="248"/>
        <v>0.02242795626340688</v>
      </c>
      <c r="BD281" s="4">
        <f t="shared" si="241"/>
        <v>0.7498712627969165</v>
      </c>
      <c r="BE281" s="4">
        <f>SUMPRODUCT(BC$4:BC281,$BD$77:BD$354)</f>
        <v>1.2126656529559188</v>
      </c>
      <c r="BF281" s="23">
        <f t="shared" si="242"/>
        <v>1.2126656529559188</v>
      </c>
      <c r="BG281" s="4">
        <f t="shared" si="207"/>
        <v>0.5100243151641468</v>
      </c>
    </row>
    <row r="282" spans="5:59" ht="15">
      <c r="E282" s="1">
        <f t="shared" si="243"/>
        <v>278</v>
      </c>
      <c r="F282" s="1">
        <f t="shared" si="229"/>
        <v>2028</v>
      </c>
      <c r="G282" s="3">
        <f t="shared" si="208"/>
        <v>3.13</v>
      </c>
      <c r="H282" s="3">
        <f t="shared" si="209"/>
        <v>0.43</v>
      </c>
      <c r="I282" s="5">
        <f t="shared" si="230"/>
        <v>0.8496783933490685</v>
      </c>
      <c r="J282" s="5">
        <f t="shared" si="251"/>
        <v>1.2040148687932186</v>
      </c>
      <c r="K282" s="4">
        <f t="shared" si="231"/>
        <v>1.506306737857713</v>
      </c>
      <c r="L282" s="4">
        <f t="shared" si="232"/>
        <v>0.0017938240610393926</v>
      </c>
      <c r="M282" s="4">
        <f t="shared" si="225"/>
        <v>6.6882041586928445</v>
      </c>
      <c r="N282" s="4">
        <f t="shared" si="233"/>
        <v>0.011997461545006952</v>
      </c>
      <c r="O282" s="4">
        <f>SUMPRODUCT($M$4:M282,L$76:$L$354)</f>
        <v>4.884336929612772</v>
      </c>
      <c r="P282" s="4">
        <f t="shared" si="234"/>
        <v>1.8038672290800726</v>
      </c>
      <c r="Q282" s="4">
        <f t="shared" si="244"/>
        <v>64.07794824076447</v>
      </c>
      <c r="R282" s="4">
        <f t="shared" si="245"/>
        <v>101.87614794621356</v>
      </c>
      <c r="S282" s="4">
        <f t="shared" si="249"/>
        <v>0.0641404927801605</v>
      </c>
      <c r="T282" s="5">
        <f t="shared" si="246"/>
        <v>401.9758825328066</v>
      </c>
      <c r="U282" s="4">
        <f t="shared" si="235"/>
        <v>412.89241275325895</v>
      </c>
      <c r="V282" s="4">
        <f t="shared" si="226"/>
        <v>0.07722610699903733</v>
      </c>
      <c r="W282" s="4">
        <f>SUMPRODUCT($J$4:J282,$S$76:S$354)</f>
        <v>10.193784147484681</v>
      </c>
      <c r="X282" s="6">
        <f t="shared" si="192"/>
        <v>2.077926379152539</v>
      </c>
      <c r="Y282" s="4">
        <f t="shared" si="236"/>
        <v>2028</v>
      </c>
      <c r="Z282" s="4">
        <f t="shared" si="247"/>
        <v>278</v>
      </c>
      <c r="AA282" s="3">
        <f t="shared" si="210"/>
        <v>114.11</v>
      </c>
      <c r="AB282" s="6">
        <f t="shared" si="237"/>
        <v>220.4453745</v>
      </c>
      <c r="AC282" s="4">
        <f t="shared" si="221"/>
        <v>219.52023205661814</v>
      </c>
      <c r="AD282" s="4">
        <f t="shared" si="222"/>
        <v>8.555131486857153</v>
      </c>
      <c r="AE282" s="4">
        <f t="shared" si="252"/>
        <v>0.9251424433818727</v>
      </c>
      <c r="AF282" s="6">
        <f t="shared" si="211"/>
        <v>1878.024449269763</v>
      </c>
      <c r="AG282" s="30">
        <f t="shared" si="250"/>
        <v>0.5793419389497563</v>
      </c>
      <c r="AH282" s="3">
        <f t="shared" si="212"/>
        <v>1.4553</v>
      </c>
      <c r="AI282" s="47">
        <f t="shared" si="238"/>
        <v>3.4303</v>
      </c>
      <c r="AJ282" s="4">
        <f t="shared" si="223"/>
        <v>2.7998071194199454</v>
      </c>
      <c r="AK282" s="4">
        <f t="shared" si="201"/>
        <v>120</v>
      </c>
      <c r="AL282" s="4">
        <f t="shared" si="202"/>
        <v>0.6304928805800545</v>
      </c>
      <c r="AM282" s="4">
        <f t="shared" si="213"/>
        <v>335.97685433039345</v>
      </c>
      <c r="AN282" s="26">
        <f t="shared" si="239"/>
        <v>0.22046986998970297</v>
      </c>
      <c r="AO282" s="4">
        <f t="shared" si="240"/>
        <v>0.9793265558536522</v>
      </c>
      <c r="AP282" s="3">
        <f t="shared" si="214"/>
        <v>30</v>
      </c>
      <c r="AQ282" s="3">
        <f t="shared" si="215"/>
        <v>870</v>
      </c>
      <c r="AR282" s="21">
        <f t="shared" si="216"/>
        <v>138</v>
      </c>
      <c r="AS282" s="35">
        <f t="shared" si="227"/>
        <v>0.1168889106539453</v>
      </c>
      <c r="AT282" s="36">
        <f t="shared" si="217"/>
        <v>-0.020890131443789334</v>
      </c>
      <c r="AU282" s="4">
        <f t="shared" si="218"/>
        <v>34.32640830380921</v>
      </c>
      <c r="AV282" s="4">
        <f t="shared" si="204"/>
        <v>0.3917091487599868</v>
      </c>
      <c r="AW282" s="4">
        <f t="shared" si="200"/>
        <v>0.02896709694748781</v>
      </c>
      <c r="AX282" s="3">
        <f t="shared" si="219"/>
        <v>67.8</v>
      </c>
      <c r="AY282" s="36">
        <f t="shared" si="205"/>
        <v>-0.4</v>
      </c>
      <c r="AZ282" s="36">
        <f t="shared" si="228"/>
        <v>-0.8000000000000002</v>
      </c>
      <c r="BA282" s="36">
        <f t="shared" si="206"/>
        <v>-0.1</v>
      </c>
      <c r="BB282" s="6">
        <f t="shared" si="190"/>
        <v>1.9984144337994725</v>
      </c>
      <c r="BC282" s="6">
        <f t="shared" si="248"/>
        <v>0.02223659197149752</v>
      </c>
      <c r="BD282" s="4">
        <f t="shared" si="241"/>
        <v>0.7489913513058903</v>
      </c>
      <c r="BE282" s="4">
        <f>SUMPRODUCT(BC$4:BC282,$BD$76:BD$354)</f>
        <v>1.231324354275052</v>
      </c>
      <c r="BF282" s="23">
        <f t="shared" si="242"/>
        <v>1.231324354275052</v>
      </c>
      <c r="BG282" s="4">
        <f t="shared" si="207"/>
        <v>0.5286830164832801</v>
      </c>
    </row>
    <row r="283" spans="5:59" ht="15">
      <c r="E283" s="1">
        <f t="shared" si="243"/>
        <v>279</v>
      </c>
      <c r="F283" s="1">
        <f t="shared" si="229"/>
        <v>2029</v>
      </c>
      <c r="G283" s="3">
        <f t="shared" si="208"/>
        <v>3.13</v>
      </c>
      <c r="H283" s="3">
        <f t="shared" si="209"/>
        <v>0.43</v>
      </c>
      <c r="I283" s="5">
        <f t="shared" si="230"/>
        <v>0.8514363414187155</v>
      </c>
      <c r="J283" s="5">
        <f t="shared" si="251"/>
        <v>1.2057841769146995</v>
      </c>
      <c r="K283" s="4">
        <f t="shared" si="231"/>
        <v>1.502779481666585</v>
      </c>
      <c r="L283" s="4">
        <f t="shared" si="232"/>
        <v>0.0018269606078603505</v>
      </c>
      <c r="M283" s="4">
        <f t="shared" si="225"/>
        <v>6.7509115410855625</v>
      </c>
      <c r="N283" s="4">
        <f t="shared" si="233"/>
        <v>0.012333649452713135</v>
      </c>
      <c r="O283" s="4">
        <f>SUMPRODUCT($M$4:M283,L$75:$L$354)</f>
        <v>4.943312188253629</v>
      </c>
      <c r="P283" s="4">
        <f t="shared" si="234"/>
        <v>1.8075993528319332</v>
      </c>
      <c r="Q283" s="4">
        <f t="shared" si="244"/>
        <v>64.65449834979235</v>
      </c>
      <c r="R283" s="4">
        <f t="shared" si="245"/>
        <v>102.98977545250101</v>
      </c>
      <c r="S283" s="4">
        <f t="shared" si="249"/>
        <v>0.06455027263142808</v>
      </c>
      <c r="T283" s="5">
        <f t="shared" si="246"/>
        <v>403.4664404258746</v>
      </c>
      <c r="U283" s="4">
        <f t="shared" si="235"/>
        <v>414.39871949111665</v>
      </c>
      <c r="V283" s="4">
        <f t="shared" si="226"/>
        <v>0.07783369735450596</v>
      </c>
      <c r="W283" s="4">
        <f>SUMPRODUCT($J$4:J283,$S$75:S$354)</f>
        <v>10.284077096294638</v>
      </c>
      <c r="X283" s="6">
        <f t="shared" si="192"/>
        <v>2.097408637909858</v>
      </c>
      <c r="Y283" s="4">
        <f t="shared" si="236"/>
        <v>2029</v>
      </c>
      <c r="Z283" s="4">
        <f t="shared" si="247"/>
        <v>279</v>
      </c>
      <c r="AA283" s="3">
        <f t="shared" si="210"/>
        <v>114.11</v>
      </c>
      <c r="AB283" s="6">
        <f t="shared" si="237"/>
        <v>220.4453745</v>
      </c>
      <c r="AC283" s="4">
        <f t="shared" si="221"/>
        <v>219.5981022800419</v>
      </c>
      <c r="AD283" s="4">
        <f t="shared" si="222"/>
        <v>8.55631069760803</v>
      </c>
      <c r="AE283" s="4">
        <f t="shared" si="252"/>
        <v>0.8472722199581142</v>
      </c>
      <c r="AF283" s="6">
        <f t="shared" si="211"/>
        <v>1878.9495917131449</v>
      </c>
      <c r="AG283" s="30">
        <f t="shared" si="250"/>
        <v>0.579726156337467</v>
      </c>
      <c r="AH283" s="3">
        <f t="shared" si="212"/>
        <v>1.4553</v>
      </c>
      <c r="AI283" s="47">
        <f t="shared" si="238"/>
        <v>3.4303</v>
      </c>
      <c r="AJ283" s="4">
        <f t="shared" si="223"/>
        <v>2.8050612267581125</v>
      </c>
      <c r="AK283" s="4">
        <f t="shared" si="201"/>
        <v>120</v>
      </c>
      <c r="AL283" s="4">
        <f t="shared" si="202"/>
        <v>0.6252387732418874</v>
      </c>
      <c r="AM283" s="4">
        <f t="shared" si="213"/>
        <v>336.6073472109735</v>
      </c>
      <c r="AN283" s="26">
        <f t="shared" si="239"/>
        <v>0.22253274612618923</v>
      </c>
      <c r="AO283" s="4">
        <f t="shared" si="240"/>
        <v>0.9791722282175439</v>
      </c>
      <c r="AP283" s="3">
        <f t="shared" si="214"/>
        <v>30</v>
      </c>
      <c r="AQ283" s="3">
        <f t="shared" si="215"/>
        <v>870</v>
      </c>
      <c r="AR283" s="21">
        <f t="shared" si="216"/>
        <v>138</v>
      </c>
      <c r="AS283" s="35">
        <f t="shared" si="227"/>
        <v>0.11687280129735779</v>
      </c>
      <c r="AT283" s="36">
        <f t="shared" si="217"/>
        <v>-0.021047729332215836</v>
      </c>
      <c r="AU283" s="4">
        <f t="shared" si="218"/>
        <v>34.328870770815875</v>
      </c>
      <c r="AV283" s="4">
        <f t="shared" si="204"/>
        <v>0.3918125723742668</v>
      </c>
      <c r="AW283" s="4">
        <f t="shared" si="200"/>
        <v>0.028986307816873357</v>
      </c>
      <c r="AX283" s="3">
        <f t="shared" si="219"/>
        <v>67.8</v>
      </c>
      <c r="AY283" s="36">
        <f t="shared" si="205"/>
        <v>-0.4</v>
      </c>
      <c r="AZ283" s="36">
        <f t="shared" si="228"/>
        <v>-0.8000000000000002</v>
      </c>
      <c r="BA283" s="36">
        <f t="shared" si="206"/>
        <v>-0.1</v>
      </c>
      <c r="BB283" s="6">
        <f t="shared" si="190"/>
        <v>2.020466420564654</v>
      </c>
      <c r="BC283" s="6">
        <f t="shared" si="248"/>
        <v>0.022051986765181608</v>
      </c>
      <c r="BD283" s="4">
        <f t="shared" si="241"/>
        <v>0.7480870880096665</v>
      </c>
      <c r="BE283" s="4">
        <f>SUMPRODUCT(BC$4:BC283,$BD$75:BD$354)</f>
        <v>1.2498820846582877</v>
      </c>
      <c r="BF283" s="23">
        <f t="shared" si="242"/>
        <v>1.2498820846582877</v>
      </c>
      <c r="BG283" s="4">
        <f t="shared" si="207"/>
        <v>0.5472407468665157</v>
      </c>
    </row>
    <row r="284" spans="5:59" ht="15">
      <c r="E284" s="1">
        <f t="shared" si="243"/>
        <v>280</v>
      </c>
      <c r="F284" s="1">
        <f t="shared" si="229"/>
        <v>2030</v>
      </c>
      <c r="G284" s="3">
        <f t="shared" si="208"/>
        <v>3.13</v>
      </c>
      <c r="H284" s="3">
        <f t="shared" si="209"/>
        <v>0.43</v>
      </c>
      <c r="I284" s="5">
        <f t="shared" si="230"/>
        <v>0.8531174597829395</v>
      </c>
      <c r="J284" s="5">
        <f t="shared" si="251"/>
        <v>1.2075012293879532</v>
      </c>
      <c r="K284" s="4">
        <f t="shared" si="231"/>
        <v>1.4993813108291074</v>
      </c>
      <c r="L284" s="4">
        <f t="shared" si="232"/>
        <v>0.0018612048036026167</v>
      </c>
      <c r="M284" s="4">
        <f t="shared" si="225"/>
        <v>6.813245358073625</v>
      </c>
      <c r="N284" s="4">
        <f t="shared" si="233"/>
        <v>0.012680844988569862</v>
      </c>
      <c r="O284" s="4">
        <f>SUMPRODUCT($M$4:M284,L$74:$L$354)</f>
        <v>5.0020769909544445</v>
      </c>
      <c r="P284" s="4">
        <f t="shared" si="234"/>
        <v>1.8111683671191807</v>
      </c>
      <c r="Q284" s="4">
        <f t="shared" si="244"/>
        <v>65.22718511904003</v>
      </c>
      <c r="R284" s="4">
        <f t="shared" si="245"/>
        <v>104.10006786704645</v>
      </c>
      <c r="S284" s="4">
        <f t="shared" si="249"/>
        <v>0.06496907302734438</v>
      </c>
      <c r="T284" s="5">
        <f t="shared" si="246"/>
        <v>404.95385576151557</v>
      </c>
      <c r="U284" s="4">
        <f t="shared" si="235"/>
        <v>415.90149897278326</v>
      </c>
      <c r="V284" s="4">
        <f t="shared" si="226"/>
        <v>0.07845023555271405</v>
      </c>
      <c r="W284" s="4">
        <f>SUMPRODUCT($J$4:J284,$S$74:S$354)</f>
        <v>10.373756473636801</v>
      </c>
      <c r="X284" s="6">
        <f t="shared" si="192"/>
        <v>2.1167748354061495</v>
      </c>
      <c r="Y284" s="4">
        <f t="shared" si="236"/>
        <v>2030</v>
      </c>
      <c r="Z284" s="4">
        <f t="shared" si="247"/>
        <v>280</v>
      </c>
      <c r="AA284" s="3">
        <f t="shared" si="210"/>
        <v>114.11</v>
      </c>
      <c r="AB284" s="6">
        <f t="shared" si="237"/>
        <v>220.4453745</v>
      </c>
      <c r="AC284" s="4">
        <f t="shared" si="221"/>
        <v>219.66940919594813</v>
      </c>
      <c r="AD284" s="4">
        <f t="shared" si="222"/>
        <v>8.557390265734718</v>
      </c>
      <c r="AE284" s="4">
        <f t="shared" si="252"/>
        <v>0.7759653040518799</v>
      </c>
      <c r="AF284" s="6">
        <f t="shared" si="211"/>
        <v>1879.796863933103</v>
      </c>
      <c r="AG284" s="30">
        <f t="shared" si="250"/>
        <v>0.5800779507659393</v>
      </c>
      <c r="AH284" s="3">
        <f t="shared" si="212"/>
        <v>1.4553</v>
      </c>
      <c r="AI284" s="47">
        <f t="shared" si="238"/>
        <v>3.4303</v>
      </c>
      <c r="AJ284" s="4">
        <f t="shared" si="223"/>
        <v>2.8102715498684616</v>
      </c>
      <c r="AK284" s="4">
        <f t="shared" si="201"/>
        <v>120</v>
      </c>
      <c r="AL284" s="4">
        <f t="shared" si="202"/>
        <v>0.6200284501315383</v>
      </c>
      <c r="AM284" s="4">
        <f t="shared" si="213"/>
        <v>337.2325859842154</v>
      </c>
      <c r="AN284" s="26">
        <f t="shared" si="239"/>
        <v>0.22457652462036634</v>
      </c>
      <c r="AO284" s="4">
        <f t="shared" si="240"/>
        <v>0.9790309784707691</v>
      </c>
      <c r="AP284" s="3">
        <f t="shared" si="214"/>
        <v>30</v>
      </c>
      <c r="AQ284" s="3">
        <f t="shared" si="215"/>
        <v>870</v>
      </c>
      <c r="AR284" s="21">
        <f t="shared" si="216"/>
        <v>138</v>
      </c>
      <c r="AS284" s="35">
        <f t="shared" si="227"/>
        <v>0.11685805706491784</v>
      </c>
      <c r="AT284" s="36">
        <f t="shared" si="217"/>
        <v>-0.02119199397904854</v>
      </c>
      <c r="AU284" s="4">
        <f t="shared" si="218"/>
        <v>34.331124905922636</v>
      </c>
      <c r="AV284" s="4">
        <f t="shared" si="204"/>
        <v>0.3919072460487507</v>
      </c>
      <c r="AW284" s="4">
        <f t="shared" si="200"/>
        <v>0.029003897538296967</v>
      </c>
      <c r="AX284" s="3">
        <f t="shared" si="219"/>
        <v>67.8</v>
      </c>
      <c r="AY284" s="36">
        <f t="shared" si="205"/>
        <v>-0.4</v>
      </c>
      <c r="AZ284" s="36">
        <f t="shared" si="228"/>
        <v>-0.8000000000000002</v>
      </c>
      <c r="BA284" s="36">
        <f t="shared" si="206"/>
        <v>-0.1</v>
      </c>
      <c r="BB284" s="6">
        <f t="shared" si="190"/>
        <v>2.0423404543795023</v>
      </c>
      <c r="BC284" s="6">
        <f t="shared" si="248"/>
        <v>0.021874033814848204</v>
      </c>
      <c r="BD284" s="4">
        <f t="shared" si="241"/>
        <v>0.7471568102749834</v>
      </c>
      <c r="BE284" s="4">
        <f>SUMPRODUCT(BC$4:BC284,$BD$74:BD$354)</f>
        <v>1.2683374774357679</v>
      </c>
      <c r="BF284" s="23">
        <f t="shared" si="242"/>
        <v>1.2683374774357679</v>
      </c>
      <c r="BG284" s="4">
        <f t="shared" si="207"/>
        <v>0.5656961396439959</v>
      </c>
    </row>
    <row r="285" spans="5:59" ht="15">
      <c r="E285" s="1">
        <f t="shared" si="243"/>
        <v>281</v>
      </c>
      <c r="F285" s="1">
        <f t="shared" si="229"/>
        <v>2031</v>
      </c>
      <c r="G285" s="3">
        <f t="shared" si="208"/>
        <v>3.13</v>
      </c>
      <c r="H285" s="3">
        <f t="shared" si="209"/>
        <v>0.43</v>
      </c>
      <c r="I285" s="5">
        <f t="shared" si="230"/>
        <v>0.8547248730594663</v>
      </c>
      <c r="J285" s="5">
        <f t="shared" si="251"/>
        <v>1.209192491411918</v>
      </c>
      <c r="K285" s="4">
        <f t="shared" si="231"/>
        <v>1.4960826355286159</v>
      </c>
      <c r="L285" s="4">
        <f t="shared" si="232"/>
        <v>0.0018966074964981386</v>
      </c>
      <c r="M285" s="4">
        <f t="shared" si="225"/>
        <v>6.875214157585606</v>
      </c>
      <c r="N285" s="4">
        <f t="shared" si="233"/>
        <v>0.013039582711306995</v>
      </c>
      <c r="O285" s="4">
        <f>SUMPRODUCT($M$4:M285,L$73:$L$354)</f>
        <v>5.0606332520803585</v>
      </c>
      <c r="P285" s="4">
        <f t="shared" si="234"/>
        <v>1.814580905505247</v>
      </c>
      <c r="Q285" s="4">
        <f t="shared" si="244"/>
        <v>65.79598028582899</v>
      </c>
      <c r="R285" s="4">
        <f t="shared" si="245"/>
        <v>105.2069071782701</v>
      </c>
      <c r="S285" s="4">
        <f t="shared" si="249"/>
        <v>0.06539725291487376</v>
      </c>
      <c r="T285" s="5">
        <f t="shared" si="246"/>
        <v>406.4379555504961</v>
      </c>
      <c r="U285" s="4">
        <f t="shared" si="235"/>
        <v>417.40088028361237</v>
      </c>
      <c r="V285" s="4">
        <f t="shared" si="226"/>
        <v>0.07907786718363152</v>
      </c>
      <c r="W285" s="4">
        <f>SUMPRODUCT($J$4:J285,$S$73:S$354)</f>
        <v>10.462854732077625</v>
      </c>
      <c r="X285" s="6">
        <f t="shared" si="192"/>
        <v>2.136027627356736</v>
      </c>
      <c r="Y285" s="4">
        <f t="shared" si="236"/>
        <v>2031</v>
      </c>
      <c r="Z285" s="4">
        <f t="shared" si="247"/>
        <v>281</v>
      </c>
      <c r="AA285" s="3">
        <f t="shared" si="210"/>
        <v>114.11</v>
      </c>
      <c r="AB285" s="6">
        <f t="shared" si="237"/>
        <v>220.4453745</v>
      </c>
      <c r="AC285" s="4">
        <f t="shared" si="221"/>
        <v>219.73470743050376</v>
      </c>
      <c r="AD285" s="4">
        <f t="shared" si="222"/>
        <v>8.558378652275175</v>
      </c>
      <c r="AE285" s="4">
        <f t="shared" si="252"/>
        <v>0.7106670694962531</v>
      </c>
      <c r="AF285" s="6">
        <f t="shared" si="211"/>
        <v>1880.5728292371548</v>
      </c>
      <c r="AG285" s="30">
        <f t="shared" si="250"/>
        <v>0.5804000684265129</v>
      </c>
      <c r="AH285" s="3">
        <f t="shared" si="212"/>
        <v>1.4553</v>
      </c>
      <c r="AI285" s="47">
        <f t="shared" si="238"/>
        <v>3.4303</v>
      </c>
      <c r="AJ285" s="4">
        <f t="shared" si="223"/>
        <v>2.815438453619558</v>
      </c>
      <c r="AK285" s="4">
        <f t="shared" si="201"/>
        <v>120</v>
      </c>
      <c r="AL285" s="4">
        <f t="shared" si="202"/>
        <v>0.6148615463804421</v>
      </c>
      <c r="AM285" s="4">
        <f t="shared" si="213"/>
        <v>337.85261443434695</v>
      </c>
      <c r="AN285" s="26">
        <f t="shared" si="239"/>
        <v>0.22660140148350505</v>
      </c>
      <c r="AO285" s="4">
        <f t="shared" si="240"/>
        <v>0.9789016900901644</v>
      </c>
      <c r="AP285" s="3">
        <f t="shared" si="214"/>
        <v>30</v>
      </c>
      <c r="AQ285" s="3">
        <f t="shared" si="215"/>
        <v>870</v>
      </c>
      <c r="AR285" s="21">
        <f t="shared" si="216"/>
        <v>138</v>
      </c>
      <c r="AS285" s="35">
        <f t="shared" si="227"/>
        <v>0.11684456140932234</v>
      </c>
      <c r="AT285" s="36">
        <f t="shared" si="217"/>
        <v>-0.021324060196512225</v>
      </c>
      <c r="AU285" s="4">
        <f t="shared" si="218"/>
        <v>34.3331884405705</v>
      </c>
      <c r="AV285" s="4">
        <f t="shared" si="204"/>
        <v>0.39199391450396115</v>
      </c>
      <c r="AW285" s="4">
        <f t="shared" si="200"/>
        <v>0.02902000342132565</v>
      </c>
      <c r="AX285" s="3">
        <f t="shared" si="219"/>
        <v>67.8</v>
      </c>
      <c r="AY285" s="36">
        <f t="shared" si="205"/>
        <v>-0.4</v>
      </c>
      <c r="AZ285" s="36">
        <f t="shared" si="228"/>
        <v>-0.8000000000000002</v>
      </c>
      <c r="BA285" s="36">
        <f t="shared" si="206"/>
        <v>-0.1</v>
      </c>
      <c r="BB285" s="6">
        <f aca="true" t="shared" si="253" ref="BB285:BB349">BA285+AZ285+AY285+AW285+AV285+AN285+AG285+X285</f>
        <v>2.0640430151920404</v>
      </c>
      <c r="BC285" s="6">
        <f t="shared" si="248"/>
        <v>0.021702560812538074</v>
      </c>
      <c r="BD285" s="4">
        <f t="shared" si="241"/>
        <v>0.746198736105966</v>
      </c>
      <c r="BE285" s="4">
        <f>SUMPRODUCT(BC$4:BC285,$BD$73:BD$354)</f>
        <v>1.2866895692330071</v>
      </c>
      <c r="BF285" s="23">
        <f t="shared" si="242"/>
        <v>1.2866895692330071</v>
      </c>
      <c r="BG285" s="4">
        <f t="shared" si="207"/>
        <v>0.5840482314412352</v>
      </c>
    </row>
    <row r="286" spans="5:59" ht="15">
      <c r="E286" s="1">
        <f t="shared" si="243"/>
        <v>282</v>
      </c>
      <c r="F286" s="1">
        <f t="shared" si="229"/>
        <v>2032</v>
      </c>
      <c r="G286" s="3">
        <f t="shared" si="208"/>
        <v>3.13</v>
      </c>
      <c r="H286" s="3">
        <f t="shared" si="209"/>
        <v>0.43</v>
      </c>
      <c r="I286" s="5">
        <f t="shared" si="230"/>
        <v>0.8562610609601882</v>
      </c>
      <c r="J286" s="5">
        <f t="shared" si="251"/>
        <v>1.210862686599926</v>
      </c>
      <c r="K286" s="4">
        <f t="shared" si="231"/>
        <v>1.4928762524398858</v>
      </c>
      <c r="L286" s="4">
        <f t="shared" si="232"/>
        <v>0.001933222082314506</v>
      </c>
      <c r="M286" s="4">
        <f t="shared" si="225"/>
        <v>6.936825151027182</v>
      </c>
      <c r="N286" s="4">
        <f t="shared" si="233"/>
        <v>0.013410423563120406</v>
      </c>
      <c r="O286" s="4">
        <f>SUMPRODUCT($M$4:M286,L$72:$L$354)</f>
        <v>5.118982918608702</v>
      </c>
      <c r="P286" s="4">
        <f t="shared" si="234"/>
        <v>1.8178422324184798</v>
      </c>
      <c r="Q286" s="4">
        <f t="shared" si="244"/>
        <v>66.3610896819067</v>
      </c>
      <c r="R286" s="4">
        <f t="shared" si="245"/>
        <v>106.31063249482878</v>
      </c>
      <c r="S286" s="4">
        <f t="shared" si="249"/>
        <v>0.06583518948698638</v>
      </c>
      <c r="T286" s="5">
        <f t="shared" si="246"/>
        <v>407.9190557710666</v>
      </c>
      <c r="U286" s="4">
        <f t="shared" si="235"/>
        <v>418.896962919141</v>
      </c>
      <c r="V286" s="4">
        <f t="shared" si="226"/>
        <v>0.07971737441502753</v>
      </c>
      <c r="W286" s="4">
        <f>SUMPRODUCT($J$4:J286,$S$72:S$354)</f>
        <v>10.551394506540307</v>
      </c>
      <c r="X286" s="6">
        <f t="shared" si="192"/>
        <v>2.1551692542389906</v>
      </c>
      <c r="Y286" s="4">
        <f t="shared" si="236"/>
        <v>2032</v>
      </c>
      <c r="Z286" s="4">
        <f t="shared" si="247"/>
        <v>282</v>
      </c>
      <c r="AA286" s="3">
        <f t="shared" si="210"/>
        <v>114.11</v>
      </c>
      <c r="AB286" s="6">
        <f t="shared" si="237"/>
        <v>220.4453745</v>
      </c>
      <c r="AC286" s="4">
        <f t="shared" si="221"/>
        <v>219.79450450934374</v>
      </c>
      <c r="AD286" s="4">
        <f t="shared" si="222"/>
        <v>8.559283593128578</v>
      </c>
      <c r="AE286" s="4">
        <f t="shared" si="252"/>
        <v>0.6508699906562754</v>
      </c>
      <c r="AF286" s="6">
        <f t="shared" si="211"/>
        <v>1881.2834963066512</v>
      </c>
      <c r="AG286" s="30">
        <f t="shared" si="250"/>
        <v>0.5806950212747295</v>
      </c>
      <c r="AH286" s="3">
        <f t="shared" si="212"/>
        <v>1.4553</v>
      </c>
      <c r="AI286" s="47">
        <f t="shared" si="238"/>
        <v>3.4303</v>
      </c>
      <c r="AJ286" s="4">
        <f t="shared" si="223"/>
        <v>2.820562299839395</v>
      </c>
      <c r="AK286" s="4">
        <f t="shared" si="201"/>
        <v>120</v>
      </c>
      <c r="AL286" s="4">
        <f t="shared" si="202"/>
        <v>0.609737700160605</v>
      </c>
      <c r="AM286" s="4">
        <f t="shared" si="213"/>
        <v>338.4674759807274</v>
      </c>
      <c r="AN286" s="26">
        <f t="shared" si="239"/>
        <v>0.2286075703289437</v>
      </c>
      <c r="AO286" s="4">
        <f t="shared" si="240"/>
        <v>0.9787833432162744</v>
      </c>
      <c r="AP286" s="3">
        <f t="shared" si="214"/>
        <v>30</v>
      </c>
      <c r="AQ286" s="3">
        <f t="shared" si="215"/>
        <v>870</v>
      </c>
      <c r="AR286" s="21">
        <f t="shared" si="216"/>
        <v>138</v>
      </c>
      <c r="AS286" s="35">
        <f t="shared" si="227"/>
        <v>0.11683220787342569</v>
      </c>
      <c r="AT286" s="36">
        <f t="shared" si="217"/>
        <v>-0.021444965114331672</v>
      </c>
      <c r="AU286" s="4">
        <f t="shared" si="218"/>
        <v>34.335077579911434</v>
      </c>
      <c r="AV286" s="4">
        <f t="shared" si="204"/>
        <v>0.39207325835628026</v>
      </c>
      <c r="AW286" s="4">
        <f aca="true" t="shared" si="254" ref="AW286:AW349">0.05*0.036*(SQRT(AF286)-SQRT($B$12))</f>
        <v>0.029034751063736475</v>
      </c>
      <c r="AX286" s="3">
        <f t="shared" si="219"/>
        <v>67.8</v>
      </c>
      <c r="AY286" s="36">
        <f t="shared" si="205"/>
        <v>-0.4</v>
      </c>
      <c r="AZ286" s="36">
        <f t="shared" si="228"/>
        <v>-0.8000000000000002</v>
      </c>
      <c r="BA286" s="36">
        <f t="shared" si="206"/>
        <v>-0.1</v>
      </c>
      <c r="BB286" s="6">
        <f t="shared" si="253"/>
        <v>2.0855798552626803</v>
      </c>
      <c r="BC286" s="6">
        <f t="shared" si="248"/>
        <v>0.02153684007063994</v>
      </c>
      <c r="BD286" s="4">
        <f t="shared" si="241"/>
        <v>0.7452109555609192</v>
      </c>
      <c r="BE286" s="4">
        <f>SUMPRODUCT(BC$4:BC286,$BD$72:BD$354)</f>
        <v>1.3049377648994338</v>
      </c>
      <c r="BF286" s="23">
        <f t="shared" si="242"/>
        <v>1.3049377648994338</v>
      </c>
      <c r="BG286" s="4">
        <f t="shared" si="207"/>
        <v>0.6022964271076618</v>
      </c>
    </row>
    <row r="287" spans="5:59" ht="15">
      <c r="E287" s="1">
        <f t="shared" si="243"/>
        <v>283</v>
      </c>
      <c r="F287" s="1">
        <f t="shared" si="229"/>
        <v>2033</v>
      </c>
      <c r="G287" s="3">
        <f t="shared" si="208"/>
        <v>3.13</v>
      </c>
      <c r="H287" s="3">
        <f t="shared" si="209"/>
        <v>0.43</v>
      </c>
      <c r="I287" s="5">
        <f t="shared" si="230"/>
        <v>0.8577283182679037</v>
      </c>
      <c r="J287" s="5">
        <f t="shared" si="251"/>
        <v>1.2124939150727982</v>
      </c>
      <c r="K287" s="4">
        <f t="shared" si="231"/>
        <v>1.489777766659298</v>
      </c>
      <c r="L287" s="4">
        <f t="shared" si="232"/>
        <v>0.001971104634460011</v>
      </c>
      <c r="M287" s="4">
        <f t="shared" si="225"/>
        <v>6.99808515443743</v>
      </c>
      <c r="N287" s="4">
        <f t="shared" si="233"/>
        <v>0.013793958080257419</v>
      </c>
      <c r="O287" s="4">
        <f>SUMPRODUCT($M$4:M287,L$71:$L$354)</f>
        <v>5.17712793475467</v>
      </c>
      <c r="P287" s="4">
        <f t="shared" si="234"/>
        <v>1.82095721968276</v>
      </c>
      <c r="Q287" s="4">
        <f t="shared" si="244"/>
        <v>66.92265687021145</v>
      </c>
      <c r="R287" s="4">
        <f t="shared" si="245"/>
        <v>107.41146641930754</v>
      </c>
      <c r="S287" s="4">
        <f t="shared" si="249"/>
        <v>0.06628327921162046</v>
      </c>
      <c r="T287" s="5">
        <f t="shared" si="246"/>
        <v>409.3973565785362</v>
      </c>
      <c r="U287" s="4">
        <f t="shared" si="235"/>
        <v>420.3898391715809</v>
      </c>
      <c r="V287" s="4">
        <f t="shared" si="226"/>
        <v>0.08036807271516111</v>
      </c>
      <c r="W287" s="4">
        <f>SUMPRODUCT($J$4:J287,$S$71:S$354)</f>
        <v>10.639375338685422</v>
      </c>
      <c r="X287" s="6">
        <f t="shared" si="192"/>
        <v>2.174201833695717</v>
      </c>
      <c r="Y287" s="4">
        <f t="shared" si="236"/>
        <v>2033</v>
      </c>
      <c r="Z287" s="4">
        <f t="shared" si="247"/>
        <v>283</v>
      </c>
      <c r="AA287" s="3">
        <f t="shared" si="210"/>
        <v>114.11</v>
      </c>
      <c r="AB287" s="6">
        <f t="shared" si="237"/>
        <v>220.4453745</v>
      </c>
      <c r="AC287" s="4">
        <f t="shared" si="221"/>
        <v>219.84926489510204</v>
      </c>
      <c r="AD287" s="4">
        <f t="shared" si="222"/>
        <v>8.560112162281943</v>
      </c>
      <c r="AE287" s="4">
        <f t="shared" si="252"/>
        <v>0.5961096048979755</v>
      </c>
      <c r="AF287" s="6">
        <f t="shared" si="211"/>
        <v>1881.9343662973074</v>
      </c>
      <c r="AG287" s="30">
        <f t="shared" si="250"/>
        <v>0.5809651072741334</v>
      </c>
      <c r="AH287" s="3">
        <f t="shared" si="212"/>
        <v>1.4553</v>
      </c>
      <c r="AI287" s="47">
        <f t="shared" si="238"/>
        <v>3.4303</v>
      </c>
      <c r="AJ287" s="4">
        <f t="shared" si="223"/>
        <v>2.8256434473407332</v>
      </c>
      <c r="AK287" s="4">
        <f t="shared" si="201"/>
        <v>120</v>
      </c>
      <c r="AL287" s="4">
        <f t="shared" si="202"/>
        <v>0.6046565526592667</v>
      </c>
      <c r="AM287" s="4">
        <f t="shared" si="213"/>
        <v>339.077213680888</v>
      </c>
      <c r="AN287" s="26">
        <f t="shared" si="239"/>
        <v>0.23059522240945965</v>
      </c>
      <c r="AO287" s="4">
        <f t="shared" si="240"/>
        <v>0.9786750060681908</v>
      </c>
      <c r="AP287" s="3">
        <f t="shared" si="214"/>
        <v>30</v>
      </c>
      <c r="AQ287" s="3">
        <f t="shared" si="215"/>
        <v>870</v>
      </c>
      <c r="AR287" s="21">
        <f t="shared" si="216"/>
        <v>138</v>
      </c>
      <c r="AS287" s="35">
        <f t="shared" si="227"/>
        <v>0.11682089919408502</v>
      </c>
      <c r="AT287" s="36">
        <f t="shared" si="217"/>
        <v>-0.021555656765302206</v>
      </c>
      <c r="AU287" s="4">
        <f t="shared" si="218"/>
        <v>34.336807136957844</v>
      </c>
      <c r="AV287" s="4">
        <f t="shared" si="204"/>
        <v>0.39214589975222947</v>
      </c>
      <c r="AW287" s="4">
        <f t="shared" si="254"/>
        <v>0.029048255363706674</v>
      </c>
      <c r="AX287" s="3">
        <f t="shared" si="219"/>
        <v>67.8</v>
      </c>
      <c r="AY287" s="36">
        <f t="shared" si="205"/>
        <v>-0.4</v>
      </c>
      <c r="AZ287" s="36">
        <f t="shared" si="228"/>
        <v>-0.8000000000000002</v>
      </c>
      <c r="BA287" s="36">
        <f t="shared" si="206"/>
        <v>-0.1</v>
      </c>
      <c r="BB287" s="6">
        <f t="shared" si="253"/>
        <v>2.1069563184952456</v>
      </c>
      <c r="BC287" s="6">
        <f t="shared" si="248"/>
        <v>0.021376463232565257</v>
      </c>
      <c r="BD287" s="4">
        <f t="shared" si="241"/>
        <v>0.7441914215518829</v>
      </c>
      <c r="BE287" s="4">
        <f>SUMPRODUCT(BC$4:BC287,$BD$71:BD$354)</f>
        <v>1.3230817779620123</v>
      </c>
      <c r="BF287" s="23">
        <f t="shared" si="242"/>
        <v>1.3230817779620123</v>
      </c>
      <c r="BG287" s="4">
        <f t="shared" si="207"/>
        <v>0.6204404401702404</v>
      </c>
    </row>
    <row r="288" spans="5:59" ht="15">
      <c r="E288" s="1">
        <f t="shared" si="243"/>
        <v>284</v>
      </c>
      <c r="F288" s="1">
        <f t="shared" si="229"/>
        <v>2034</v>
      </c>
      <c r="G288" s="3">
        <f t="shared" si="208"/>
        <v>3.13</v>
      </c>
      <c r="H288" s="3">
        <f t="shared" si="209"/>
        <v>0.43</v>
      </c>
      <c r="I288" s="5">
        <f t="shared" si="230"/>
        <v>0.8591292081782665</v>
      </c>
      <c r="J288" s="5">
        <f t="shared" si="251"/>
        <v>1.214091419490119</v>
      </c>
      <c r="K288" s="4">
        <f t="shared" si="231"/>
        <v>1.4867793723316147</v>
      </c>
      <c r="L288" s="4">
        <f t="shared" si="232"/>
        <v>0.002010314040791133</v>
      </c>
      <c r="M288" s="4">
        <f t="shared" si="225"/>
        <v>7.059001526766827</v>
      </c>
      <c r="N288" s="4">
        <f t="shared" si="233"/>
        <v>0.014190809883225398</v>
      </c>
      <c r="O288" s="4">
        <f>SUMPRODUCT($M$4:M288,L$70:$L$354)</f>
        <v>5.235070217804367</v>
      </c>
      <c r="P288" s="4">
        <f t="shared" si="234"/>
        <v>1.82393130896246</v>
      </c>
      <c r="Q288" s="4">
        <f t="shared" si="244"/>
        <v>67.48067894370644</v>
      </c>
      <c r="R288" s="4">
        <f t="shared" si="245"/>
        <v>108.50934683986354</v>
      </c>
      <c r="S288" s="4">
        <f t="shared" si="249"/>
        <v>0.06674193892685963</v>
      </c>
      <c r="T288" s="5">
        <f t="shared" si="246"/>
        <v>410.87276301012395</v>
      </c>
      <c r="U288" s="4">
        <f t="shared" si="235"/>
        <v>421.8796169382402</v>
      </c>
      <c r="V288" s="4">
        <f t="shared" si="226"/>
        <v>0.08103081537123383</v>
      </c>
      <c r="W288" s="4">
        <f>SUMPRODUCT($J$4:J288,$S$70:S$354)</f>
        <v>10.72681049908532</v>
      </c>
      <c r="X288" s="6">
        <f t="shared" si="192"/>
        <v>2.1931276520442813</v>
      </c>
      <c r="Y288" s="4">
        <f t="shared" si="236"/>
        <v>2034</v>
      </c>
      <c r="Z288" s="4">
        <f t="shared" si="247"/>
        <v>284</v>
      </c>
      <c r="AA288" s="3">
        <f t="shared" si="210"/>
        <v>114.11</v>
      </c>
      <c r="AB288" s="6">
        <f t="shared" si="237"/>
        <v>220.4453745</v>
      </c>
      <c r="AC288" s="4">
        <f t="shared" si="221"/>
        <v>219.89941367275392</v>
      </c>
      <c r="AD288" s="4">
        <f t="shared" si="222"/>
        <v>8.560870829349808</v>
      </c>
      <c r="AE288" s="4">
        <f t="shared" si="252"/>
        <v>0.5459608272460912</v>
      </c>
      <c r="AF288" s="6">
        <f t="shared" si="211"/>
        <v>1882.5304759022054</v>
      </c>
      <c r="AG288" s="30">
        <f t="shared" si="250"/>
        <v>0.5812124288477467</v>
      </c>
      <c r="AH288" s="3">
        <f t="shared" si="212"/>
        <v>1.4553</v>
      </c>
      <c r="AI288" s="47">
        <f t="shared" si="238"/>
        <v>3.4303</v>
      </c>
      <c r="AJ288" s="4">
        <f t="shared" si="223"/>
        <v>2.8306822519462274</v>
      </c>
      <c r="AK288" s="4">
        <f t="shared" si="201"/>
        <v>120</v>
      </c>
      <c r="AL288" s="4">
        <f t="shared" si="202"/>
        <v>0.5996177480537725</v>
      </c>
      <c r="AM288" s="4">
        <f t="shared" si="213"/>
        <v>339.6818702335473</v>
      </c>
      <c r="AN288" s="26">
        <f t="shared" si="239"/>
        <v>0.232564546653888</v>
      </c>
      <c r="AO288" s="4">
        <f t="shared" si="240"/>
        <v>0.9785758271556141</v>
      </c>
      <c r="AP288" s="3">
        <f t="shared" si="214"/>
        <v>30</v>
      </c>
      <c r="AQ288" s="3">
        <f t="shared" si="215"/>
        <v>870</v>
      </c>
      <c r="AR288" s="21">
        <f t="shared" si="216"/>
        <v>138</v>
      </c>
      <c r="AS288" s="35">
        <f t="shared" si="227"/>
        <v>0.11681054648922315</v>
      </c>
      <c r="AT288" s="36">
        <f t="shared" si="217"/>
        <v>-0.021657001887734208</v>
      </c>
      <c r="AU288" s="4">
        <f t="shared" si="218"/>
        <v>34.338390654495846</v>
      </c>
      <c r="AV288" s="4">
        <f t="shared" si="204"/>
        <v>0.3922124074888256</v>
      </c>
      <c r="AW288" s="4">
        <f t="shared" si="254"/>
        <v>0.029060621442387337</v>
      </c>
      <c r="AX288" s="3">
        <f t="shared" si="219"/>
        <v>67.8</v>
      </c>
      <c r="AY288" s="36">
        <f t="shared" si="205"/>
        <v>-0.4</v>
      </c>
      <c r="AZ288" s="36">
        <f t="shared" si="228"/>
        <v>-0.8000000000000002</v>
      </c>
      <c r="BA288" s="36">
        <f t="shared" si="206"/>
        <v>-0.1</v>
      </c>
      <c r="BB288" s="6">
        <f t="shared" si="253"/>
        <v>2.1281776564771286</v>
      </c>
      <c r="BC288" s="6">
        <f t="shared" si="248"/>
        <v>0.02122133798188308</v>
      </c>
      <c r="BD288" s="4">
        <f t="shared" si="241"/>
        <v>0.7431379399825593</v>
      </c>
      <c r="BE288" s="4">
        <f>SUMPRODUCT(BC$4:BC288,$BD$70:BD$354)</f>
        <v>1.3411215904627496</v>
      </c>
      <c r="BF288" s="23">
        <f t="shared" si="242"/>
        <v>1.3411215904627496</v>
      </c>
      <c r="BG288" s="4">
        <f t="shared" si="207"/>
        <v>0.6384802526709776</v>
      </c>
    </row>
    <row r="289" spans="5:59" ht="15">
      <c r="E289" s="1">
        <f t="shared" si="243"/>
        <v>285</v>
      </c>
      <c r="F289" s="1">
        <f t="shared" si="229"/>
        <v>2035</v>
      </c>
      <c r="G289" s="3">
        <f t="shared" si="208"/>
        <v>3.13</v>
      </c>
      <c r="H289" s="3">
        <f t="shared" si="209"/>
        <v>0.43</v>
      </c>
      <c r="I289" s="5">
        <f t="shared" si="230"/>
        <v>0.8604660928976646</v>
      </c>
      <c r="J289" s="5">
        <f t="shared" si="251"/>
        <v>1.2156668654876</v>
      </c>
      <c r="K289" s="4">
        <f t="shared" si="231"/>
        <v>1.4838670416147353</v>
      </c>
      <c r="L289" s="4">
        <f t="shared" si="232"/>
        <v>0.0020509121474818677</v>
      </c>
      <c r="M289" s="4">
        <f t="shared" si="225"/>
        <v>7.119581208410364</v>
      </c>
      <c r="N289" s="4">
        <f t="shared" si="233"/>
        <v>0.01460163558531245</v>
      </c>
      <c r="O289" s="4">
        <f>SUMPRODUCT($M$4:M289,L$69:$L$354)</f>
        <v>5.2928116931886215</v>
      </c>
      <c r="P289" s="4">
        <f t="shared" si="234"/>
        <v>1.8267695152217422</v>
      </c>
      <c r="Q289" s="4">
        <f t="shared" si="244"/>
        <v>68.03524007154667</v>
      </c>
      <c r="R289" s="4">
        <f t="shared" si="245"/>
        <v>109.60438368224374</v>
      </c>
      <c r="S289" s="4">
        <f t="shared" si="249"/>
        <v>0.06721160700802187</v>
      </c>
      <c r="T289" s="5">
        <f t="shared" si="246"/>
        <v>412.34536663605274</v>
      </c>
      <c r="U289" s="4">
        <f t="shared" si="235"/>
        <v>423.3663963105718</v>
      </c>
      <c r="V289" s="4">
        <f t="shared" si="226"/>
        <v>0.08170692361582635</v>
      </c>
      <c r="W289" s="4">
        <f>SUMPRODUCT($J$4:J289,$S$69:S$354)</f>
        <v>10.813722161177033</v>
      </c>
      <c r="X289" s="6">
        <f t="shared" si="192"/>
        <v>2.211948865563034</v>
      </c>
      <c r="Y289" s="4">
        <f t="shared" si="236"/>
        <v>2035</v>
      </c>
      <c r="Z289" s="4">
        <f t="shared" si="247"/>
        <v>285</v>
      </c>
      <c r="AA289" s="3">
        <f t="shared" si="210"/>
        <v>114.11</v>
      </c>
      <c r="AB289" s="6">
        <f t="shared" si="237"/>
        <v>220.4453745</v>
      </c>
      <c r="AC289" s="4">
        <f t="shared" si="221"/>
        <v>219.94533991447153</v>
      </c>
      <c r="AD289" s="4">
        <f t="shared" si="222"/>
        <v>8.561565511966332</v>
      </c>
      <c r="AE289" s="4">
        <f t="shared" si="252"/>
        <v>0.500034585528482</v>
      </c>
      <c r="AF289" s="6">
        <f t="shared" si="211"/>
        <v>1883.0764367294514</v>
      </c>
      <c r="AG289" s="30">
        <f t="shared" si="250"/>
        <v>0.5814389097027766</v>
      </c>
      <c r="AH289" s="3">
        <f t="shared" si="212"/>
        <v>1.4553</v>
      </c>
      <c r="AI289" s="47">
        <f t="shared" si="238"/>
        <v>3.4303</v>
      </c>
      <c r="AJ289" s="4">
        <f t="shared" si="223"/>
        <v>2.8356790665133422</v>
      </c>
      <c r="AK289" s="4">
        <f t="shared" si="201"/>
        <v>120</v>
      </c>
      <c r="AL289" s="4">
        <f t="shared" si="202"/>
        <v>0.5946209334866577</v>
      </c>
      <c r="AM289" s="4">
        <f t="shared" si="213"/>
        <v>340.28148798160106</v>
      </c>
      <c r="AN289" s="26">
        <f t="shared" si="239"/>
        <v>0.2345157297030056</v>
      </c>
      <c r="AO289" s="4">
        <f t="shared" si="240"/>
        <v>0.9784850282086118</v>
      </c>
      <c r="AP289" s="3">
        <f t="shared" si="214"/>
        <v>30</v>
      </c>
      <c r="AQ289" s="3">
        <f t="shared" si="215"/>
        <v>870</v>
      </c>
      <c r="AR289" s="21">
        <f t="shared" si="216"/>
        <v>138</v>
      </c>
      <c r="AS289" s="35">
        <f t="shared" si="227"/>
        <v>0.11680106851980747</v>
      </c>
      <c r="AT289" s="36">
        <f t="shared" si="217"/>
        <v>-0.021749793020742144</v>
      </c>
      <c r="AU289" s="4">
        <f t="shared" si="218"/>
        <v>34.3398405159491</v>
      </c>
      <c r="AV289" s="4">
        <f t="shared" si="204"/>
        <v>0.3922733016698622</v>
      </c>
      <c r="AW289" s="4">
        <f t="shared" si="254"/>
        <v>0.029071945485138827</v>
      </c>
      <c r="AX289" s="3">
        <f t="shared" si="219"/>
        <v>67.8</v>
      </c>
      <c r="AY289" s="36">
        <f t="shared" si="205"/>
        <v>-0.4</v>
      </c>
      <c r="AZ289" s="36">
        <f t="shared" si="228"/>
        <v>-0.8000000000000002</v>
      </c>
      <c r="BA289" s="36">
        <f t="shared" si="206"/>
        <v>-0.1</v>
      </c>
      <c r="BB289" s="6">
        <f t="shared" si="253"/>
        <v>2.149248752123817</v>
      </c>
      <c r="BC289" s="6">
        <f t="shared" si="248"/>
        <v>0.02107109564668841</v>
      </c>
      <c r="BD289" s="4">
        <f t="shared" si="241"/>
        <v>0.742048159177038</v>
      </c>
      <c r="BE289" s="4">
        <f>SUMPRODUCT(BC$4:BC289,$BD$69:BD$354)</f>
        <v>1.3590574307344432</v>
      </c>
      <c r="BF289" s="23">
        <f t="shared" si="242"/>
        <v>1.3590574307344432</v>
      </c>
      <c r="BG289" s="4">
        <f t="shared" si="207"/>
        <v>0.6564160929426712</v>
      </c>
    </row>
    <row r="290" spans="5:59" ht="15">
      <c r="E290" s="1">
        <f t="shared" si="243"/>
        <v>286</v>
      </c>
      <c r="F290" s="1">
        <f t="shared" si="229"/>
        <v>2036</v>
      </c>
      <c r="G290" s="3">
        <f t="shared" si="208"/>
        <v>3.13</v>
      </c>
      <c r="H290" s="3">
        <f t="shared" si="209"/>
        <v>0.43</v>
      </c>
      <c r="I290" s="5">
        <f t="shared" si="230"/>
        <v>0.8617410165749286</v>
      </c>
      <c r="J290" s="5">
        <f t="shared" si="251"/>
        <v>1.2172134739423037</v>
      </c>
      <c r="K290" s="4">
        <f t="shared" si="231"/>
        <v>1.4810455094827675</v>
      </c>
      <c r="L290" s="4">
        <f t="shared" si="232"/>
        <v>0.00209296391033937</v>
      </c>
      <c r="M290" s="4">
        <f t="shared" si="225"/>
        <v>7.179830476641774</v>
      </c>
      <c r="N290" s="4">
        <f t="shared" si="233"/>
        <v>0.01502712606996595</v>
      </c>
      <c r="O290" s="4">
        <f>SUMPRODUCT($M$4:M290,L$68:$L$354)</f>
        <v>5.3503542984532</v>
      </c>
      <c r="P290" s="4">
        <f t="shared" si="234"/>
        <v>1.8294761781885738</v>
      </c>
      <c r="Q290" s="4">
        <f t="shared" si="244"/>
        <v>68.58648088967533</v>
      </c>
      <c r="R290" s="4">
        <f t="shared" si="245"/>
        <v>110.69680125197617</v>
      </c>
      <c r="S290" s="4">
        <f t="shared" si="249"/>
        <v>0.06769274461309949</v>
      </c>
      <c r="T290" s="5">
        <f t="shared" si="246"/>
        <v>413.8153848788711</v>
      </c>
      <c r="U290" s="4">
        <f t="shared" si="235"/>
        <v>424.8502633521866</v>
      </c>
      <c r="V290" s="4">
        <f t="shared" si="226"/>
        <v>0.0823965208312</v>
      </c>
      <c r="W290" s="4">
        <f>SUMPRODUCT($J$4:J290,$S$68:S$354)</f>
        <v>10.90011818585575</v>
      </c>
      <c r="X290" s="6">
        <f t="shared" si="192"/>
        <v>2.230667424508333</v>
      </c>
      <c r="Y290" s="4">
        <f t="shared" si="236"/>
        <v>2036</v>
      </c>
      <c r="Z290" s="4">
        <f t="shared" si="247"/>
        <v>286</v>
      </c>
      <c r="AA290" s="3">
        <f t="shared" si="210"/>
        <v>114.11</v>
      </c>
      <c r="AB290" s="6">
        <f t="shared" si="237"/>
        <v>220.4453745</v>
      </c>
      <c r="AC290" s="4">
        <f t="shared" si="221"/>
        <v>219.987399752685</v>
      </c>
      <c r="AD290" s="4">
        <f t="shared" si="222"/>
        <v>8.562201623513623</v>
      </c>
      <c r="AE290" s="4">
        <f t="shared" si="252"/>
        <v>0.4579747473150064</v>
      </c>
      <c r="AF290" s="6">
        <f t="shared" si="211"/>
        <v>1883.57647131498</v>
      </c>
      <c r="AG290" s="30">
        <f t="shared" si="250"/>
        <v>0.5816463101777279</v>
      </c>
      <c r="AH290" s="3">
        <f t="shared" si="212"/>
        <v>1.4553</v>
      </c>
      <c r="AI290" s="47">
        <f t="shared" si="238"/>
        <v>3.4303</v>
      </c>
      <c r="AJ290" s="4">
        <f t="shared" si="223"/>
        <v>2.8406342409590644</v>
      </c>
      <c r="AK290" s="4">
        <f t="shared" si="201"/>
        <v>120</v>
      </c>
      <c r="AL290" s="4">
        <f t="shared" si="202"/>
        <v>0.5896657590409355</v>
      </c>
      <c r="AM290" s="4">
        <f t="shared" si="213"/>
        <v>340.87610891508774</v>
      </c>
      <c r="AN290" s="26">
        <f t="shared" si="239"/>
        <v>0.23644895594469786</v>
      </c>
      <c r="AO290" s="4">
        <f t="shared" si="240"/>
        <v>0.9784018977543227</v>
      </c>
      <c r="AP290" s="3">
        <f t="shared" si="214"/>
        <v>30</v>
      </c>
      <c r="AQ290" s="3">
        <f t="shared" si="215"/>
        <v>870</v>
      </c>
      <c r="AR290" s="21">
        <f t="shared" si="216"/>
        <v>138</v>
      </c>
      <c r="AS290" s="35">
        <f t="shared" si="227"/>
        <v>0.11679239101935976</v>
      </c>
      <c r="AT290" s="36">
        <f t="shared" si="217"/>
        <v>-0.021834754960276006</v>
      </c>
      <c r="AU290" s="4">
        <f t="shared" si="218"/>
        <v>34.34116804625431</v>
      </c>
      <c r="AV290" s="4">
        <f t="shared" si="204"/>
        <v>0.3923290579426811</v>
      </c>
      <c r="AW290" s="4">
        <f t="shared" si="254"/>
        <v>0.029082315508886403</v>
      </c>
      <c r="AX290" s="3">
        <f t="shared" si="219"/>
        <v>67.8</v>
      </c>
      <c r="AY290" s="36">
        <f t="shared" si="205"/>
        <v>-0.4</v>
      </c>
      <c r="AZ290" s="36">
        <f t="shared" si="228"/>
        <v>-0.8000000000000002</v>
      </c>
      <c r="BA290" s="36">
        <f t="shared" si="206"/>
        <v>-0.1</v>
      </c>
      <c r="BB290" s="6">
        <f t="shared" si="253"/>
        <v>2.170174064082326</v>
      </c>
      <c r="BC290" s="6">
        <f t="shared" si="248"/>
        <v>0.020925311958508885</v>
      </c>
      <c r="BD290" s="4">
        <f t="shared" si="241"/>
        <v>0.7409195585483118</v>
      </c>
      <c r="BE290" s="4">
        <f>SUMPRODUCT(BC$4:BC290,$BD$68:BD$354)</f>
        <v>1.3768897393174724</v>
      </c>
      <c r="BF290" s="23">
        <f t="shared" si="242"/>
        <v>1.3768897393174724</v>
      </c>
      <c r="BG290" s="4">
        <f t="shared" si="207"/>
        <v>0.6742484015257004</v>
      </c>
    </row>
    <row r="291" spans="5:59" ht="15">
      <c r="E291" s="1">
        <f t="shared" si="243"/>
        <v>287</v>
      </c>
      <c r="F291" s="1">
        <f t="shared" si="229"/>
        <v>2037</v>
      </c>
      <c r="G291" s="3">
        <f t="shared" si="208"/>
        <v>3.13</v>
      </c>
      <c r="H291" s="3">
        <f t="shared" si="209"/>
        <v>0.43</v>
      </c>
      <c r="I291" s="5">
        <f t="shared" si="230"/>
        <v>0.8629560796470973</v>
      </c>
      <c r="J291" s="5">
        <f t="shared" si="251"/>
        <v>1.2187271099489188</v>
      </c>
      <c r="K291" s="4">
        <f t="shared" si="231"/>
        <v>1.4783168104039839</v>
      </c>
      <c r="L291" s="4">
        <f t="shared" si="232"/>
        <v>0.0021365375539794777</v>
      </c>
      <c r="M291" s="4">
        <f t="shared" si="225"/>
        <v>7.239755715260093</v>
      </c>
      <c r="N291" s="4">
        <f t="shared" si="233"/>
        <v>0.015468009967290742</v>
      </c>
      <c r="O291" s="4">
        <f>SUMPRODUCT($M$4:M291,L$67:$L$354)</f>
        <v>5.407699958169305</v>
      </c>
      <c r="P291" s="4">
        <f t="shared" si="234"/>
        <v>1.8320557570907878</v>
      </c>
      <c r="Q291" s="4">
        <f t="shared" si="244"/>
        <v>69.13445125614587</v>
      </c>
      <c r="R291" s="4">
        <f t="shared" si="245"/>
        <v>111.78664686653437</v>
      </c>
      <c r="S291" s="4">
        <f t="shared" si="249"/>
        <v>0.06818583701386413</v>
      </c>
      <c r="T291" s="5">
        <f t="shared" si="246"/>
        <v>415.2828521027104</v>
      </c>
      <c r="U291" s="4">
        <f t="shared" si="235"/>
        <v>426.33130886166936</v>
      </c>
      <c r="V291" s="4">
        <f t="shared" si="226"/>
        <v>0.08309992808335465</v>
      </c>
      <c r="W291" s="4">
        <f>SUMPRODUCT($J$4:J291,$S$67:S$354)</f>
        <v>10.986004527440558</v>
      </c>
      <c r="X291" s="6">
        <f t="shared" si="192"/>
        <v>2.2492853122323746</v>
      </c>
      <c r="Y291" s="4">
        <f t="shared" si="236"/>
        <v>2037</v>
      </c>
      <c r="Z291" s="4">
        <f t="shared" si="247"/>
        <v>287</v>
      </c>
      <c r="AA291" s="3">
        <f t="shared" si="210"/>
        <v>114.11</v>
      </c>
      <c r="AB291" s="6">
        <f t="shared" si="237"/>
        <v>220.4453745</v>
      </c>
      <c r="AC291" s="4">
        <f t="shared" si="221"/>
        <v>220.0259191873416</v>
      </c>
      <c r="AD291" s="4">
        <f t="shared" si="222"/>
        <v>8.562784116620957</v>
      </c>
      <c r="AE291" s="4">
        <f t="shared" si="252"/>
        <v>0.41945531265841396</v>
      </c>
      <c r="AF291" s="6">
        <f t="shared" si="211"/>
        <v>1884.034446062295</v>
      </c>
      <c r="AG291" s="30">
        <f t="shared" si="250"/>
        <v>0.5818362412465059</v>
      </c>
      <c r="AH291" s="3">
        <f t="shared" si="212"/>
        <v>1.4553</v>
      </c>
      <c r="AI291" s="47">
        <f t="shared" si="238"/>
        <v>3.4303</v>
      </c>
      <c r="AJ291" s="4">
        <f t="shared" si="223"/>
        <v>2.8455481222844057</v>
      </c>
      <c r="AK291" s="4">
        <f t="shared" si="201"/>
        <v>120</v>
      </c>
      <c r="AL291" s="4">
        <f t="shared" si="202"/>
        <v>0.5847518777155942</v>
      </c>
      <c r="AM291" s="4">
        <f t="shared" si="213"/>
        <v>341.4657746741287</v>
      </c>
      <c r="AN291" s="26">
        <f t="shared" si="239"/>
        <v>0.23836440754842642</v>
      </c>
      <c r="AO291" s="4">
        <f t="shared" si="240"/>
        <v>0.9783257852775462</v>
      </c>
      <c r="AP291" s="3">
        <f t="shared" si="214"/>
        <v>30</v>
      </c>
      <c r="AQ291" s="3">
        <f t="shared" si="215"/>
        <v>870</v>
      </c>
      <c r="AR291" s="21">
        <f t="shared" si="216"/>
        <v>138</v>
      </c>
      <c r="AS291" s="35">
        <f t="shared" si="227"/>
        <v>0.11678444608441439</v>
      </c>
      <c r="AT291" s="36">
        <f t="shared" si="217"/>
        <v>-0.02191255063667489</v>
      </c>
      <c r="AU291" s="4">
        <f t="shared" si="218"/>
        <v>34.342383603698046</v>
      </c>
      <c r="AV291" s="4">
        <f t="shared" si="204"/>
        <v>0.392380111355318</v>
      </c>
      <c r="AW291" s="4">
        <f t="shared" si="254"/>
        <v>0.029091812062325296</v>
      </c>
      <c r="AX291" s="3">
        <f t="shared" si="219"/>
        <v>67.8</v>
      </c>
      <c r="AY291" s="36">
        <f t="shared" si="205"/>
        <v>-0.4</v>
      </c>
      <c r="AZ291" s="36">
        <f t="shared" si="228"/>
        <v>-0.8000000000000002</v>
      </c>
      <c r="BA291" s="36">
        <f t="shared" si="206"/>
        <v>-0.1</v>
      </c>
      <c r="BB291" s="6">
        <f t="shared" si="253"/>
        <v>2.19095788444495</v>
      </c>
      <c r="BC291" s="6">
        <f t="shared" si="248"/>
        <v>0.020783820362624272</v>
      </c>
      <c r="BD291" s="4">
        <f t="shared" si="241"/>
        <v>0.739749436451921</v>
      </c>
      <c r="BE291" s="4">
        <f>SUMPRODUCT(BC$4:BC291,$BD$67:BD$354)</f>
        <v>1.3946191344620689</v>
      </c>
      <c r="BF291" s="23">
        <f t="shared" si="242"/>
        <v>1.3946191344620689</v>
      </c>
      <c r="BG291" s="4">
        <f t="shared" si="207"/>
        <v>0.6919777966702969</v>
      </c>
    </row>
    <row r="292" spans="5:59" ht="15">
      <c r="E292" s="1">
        <f t="shared" si="243"/>
        <v>288</v>
      </c>
      <c r="F292" s="1">
        <f t="shared" si="229"/>
        <v>2038</v>
      </c>
      <c r="G292" s="3">
        <f t="shared" si="208"/>
        <v>3.13</v>
      </c>
      <c r="H292" s="3">
        <f t="shared" si="209"/>
        <v>0.43</v>
      </c>
      <c r="I292" s="5">
        <f t="shared" si="230"/>
        <v>0.8641133837892334</v>
      </c>
      <c r="J292" s="5">
        <f t="shared" si="251"/>
        <v>1.220215265595257</v>
      </c>
      <c r="K292" s="4">
        <f t="shared" si="231"/>
        <v>1.4756713506155097</v>
      </c>
      <c r="L292" s="4">
        <f t="shared" si="232"/>
        <v>0.002181704739310218</v>
      </c>
      <c r="M292" s="4">
        <f t="shared" si="225"/>
        <v>7.29936330427681</v>
      </c>
      <c r="N292" s="4">
        <f t="shared" si="233"/>
        <v>0.01592505551488781</v>
      </c>
      <c r="O292" s="4">
        <f>SUMPRODUCT($M$4:M292,L$66:$L$354)</f>
        <v>5.464850590492267</v>
      </c>
      <c r="P292" s="4">
        <f t="shared" si="234"/>
        <v>1.8345127137845427</v>
      </c>
      <c r="Q292" s="4">
        <f t="shared" si="244"/>
        <v>69.67918893647382</v>
      </c>
      <c r="R292" s="4">
        <f t="shared" si="245"/>
        <v>112.87394495133745</v>
      </c>
      <c r="S292" s="4">
        <f t="shared" si="249"/>
        <v>0.06869139502098179</v>
      </c>
      <c r="T292" s="5">
        <f t="shared" si="246"/>
        <v>416.74778181844624</v>
      </c>
      <c r="U292" s="4">
        <f t="shared" si="235"/>
        <v>427.80962567207337</v>
      </c>
      <c r="V292" s="4">
        <f t="shared" si="226"/>
        <v>0.083818288819636</v>
      </c>
      <c r="W292" s="4">
        <f>SUMPRODUCT($J$4:J292,$S$66:S$354)</f>
        <v>11.07139653480329</v>
      </c>
      <c r="X292" s="6">
        <f t="shared" si="192"/>
        <v>2.267804510910623</v>
      </c>
      <c r="Y292" s="4">
        <f t="shared" si="236"/>
        <v>2038</v>
      </c>
      <c r="Z292" s="4">
        <f t="shared" si="247"/>
        <v>288</v>
      </c>
      <c r="AA292" s="3">
        <f t="shared" si="210"/>
        <v>114.11</v>
      </c>
      <c r="AB292" s="6">
        <f t="shared" si="237"/>
        <v>220.4453745</v>
      </c>
      <c r="AC292" s="4">
        <f t="shared" si="221"/>
        <v>220.06119665092882</v>
      </c>
      <c r="AD292" s="4">
        <f t="shared" si="222"/>
        <v>8.563317522825983</v>
      </c>
      <c r="AE292" s="4">
        <f t="shared" si="252"/>
        <v>0.3841778490711931</v>
      </c>
      <c r="AF292" s="6">
        <f t="shared" si="211"/>
        <v>1884.4539013749534</v>
      </c>
      <c r="AG292" s="30">
        <f t="shared" si="250"/>
        <v>0.582010177301062</v>
      </c>
      <c r="AH292" s="3">
        <f t="shared" si="212"/>
        <v>1.4553</v>
      </c>
      <c r="AI292" s="47">
        <f t="shared" si="238"/>
        <v>3.4303</v>
      </c>
      <c r="AJ292" s="4">
        <f t="shared" si="223"/>
        <v>2.8504210545987023</v>
      </c>
      <c r="AK292" s="4">
        <f t="shared" si="201"/>
        <v>120</v>
      </c>
      <c r="AL292" s="4">
        <f t="shared" si="202"/>
        <v>0.5798789454012976</v>
      </c>
      <c r="AM292" s="4">
        <f t="shared" si="213"/>
        <v>342.05052655184426</v>
      </c>
      <c r="AN292" s="26">
        <f t="shared" si="239"/>
        <v>0.2402622644990187</v>
      </c>
      <c r="AO292" s="4">
        <f t="shared" si="240"/>
        <v>0.9782560959089003</v>
      </c>
      <c r="AP292" s="3">
        <f t="shared" si="214"/>
        <v>30</v>
      </c>
      <c r="AQ292" s="3">
        <f t="shared" si="215"/>
        <v>870</v>
      </c>
      <c r="AR292" s="21">
        <f t="shared" si="216"/>
        <v>138</v>
      </c>
      <c r="AS292" s="35">
        <f t="shared" si="227"/>
        <v>0.11677717162004635</v>
      </c>
      <c r="AT292" s="36">
        <f t="shared" si="217"/>
        <v>-0.021983786468249805</v>
      </c>
      <c r="AU292" s="4">
        <f t="shared" si="218"/>
        <v>34.343496663566405</v>
      </c>
      <c r="AV292" s="4">
        <f t="shared" si="204"/>
        <v>0.39242685986978904</v>
      </c>
      <c r="AW292" s="4">
        <f t="shared" si="254"/>
        <v>0.0291005088650531</v>
      </c>
      <c r="AX292" s="3">
        <f t="shared" si="219"/>
        <v>67.8</v>
      </c>
      <c r="AY292" s="36">
        <f t="shared" si="205"/>
        <v>-0.4</v>
      </c>
      <c r="AZ292" s="36">
        <f t="shared" si="228"/>
        <v>-0.8000000000000002</v>
      </c>
      <c r="BA292" s="36">
        <f t="shared" si="206"/>
        <v>-0.1</v>
      </c>
      <c r="BB292" s="6">
        <f t="shared" si="253"/>
        <v>2.2116043214455456</v>
      </c>
      <c r="BC292" s="6">
        <f t="shared" si="248"/>
        <v>0.02064643700059543</v>
      </c>
      <c r="BD292" s="4">
        <f t="shared" si="241"/>
        <v>0.7385348971661214</v>
      </c>
      <c r="BE292" s="4">
        <f>SUMPRODUCT(BC$4:BC292,$BD$66:BD$354)</f>
        <v>1.4122463923715722</v>
      </c>
      <c r="BF292" s="23">
        <f t="shared" si="242"/>
        <v>1.4122463923715722</v>
      </c>
      <c r="BG292" s="4">
        <f t="shared" si="207"/>
        <v>0.7096050545798003</v>
      </c>
    </row>
    <row r="293" spans="5:59" ht="15">
      <c r="E293" s="1">
        <f t="shared" si="243"/>
        <v>289</v>
      </c>
      <c r="F293" s="1">
        <f t="shared" si="229"/>
        <v>2039</v>
      </c>
      <c r="G293" s="3">
        <f t="shared" si="208"/>
        <v>3.13</v>
      </c>
      <c r="H293" s="3">
        <f t="shared" si="209"/>
        <v>0.43</v>
      </c>
      <c r="I293" s="5">
        <f t="shared" si="230"/>
        <v>0.8652148059688405</v>
      </c>
      <c r="J293" s="5">
        <f t="shared" si="251"/>
        <v>1.2216789375211696</v>
      </c>
      <c r="K293" s="4">
        <f t="shared" si="231"/>
        <v>1.47310625650999</v>
      </c>
      <c r="L293" s="4">
        <f t="shared" si="232"/>
        <v>0.0022285407398132586</v>
      </c>
      <c r="M293" s="4">
        <f t="shared" si="225"/>
        <v>7.358659153764235</v>
      </c>
      <c r="N293" s="4">
        <f t="shared" si="233"/>
        <v>0.016399071714563358</v>
      </c>
      <c r="O293" s="4">
        <f>SUMPRODUCT($M$4:M293,L$65:$L$354)</f>
        <v>5.521808120692387</v>
      </c>
      <c r="P293" s="4">
        <f t="shared" si="234"/>
        <v>1.8368510330718486</v>
      </c>
      <c r="Q293" s="4">
        <f t="shared" si="244"/>
        <v>70.22079128151479</v>
      </c>
      <c r="R293" s="4">
        <f t="shared" si="245"/>
        <v>113.95884044366107</v>
      </c>
      <c r="S293" s="4">
        <f t="shared" si="249"/>
        <v>0.06920995651270297</v>
      </c>
      <c r="T293" s="5">
        <f t="shared" si="246"/>
        <v>418.2103185284324</v>
      </c>
      <c r="U293" s="4">
        <f t="shared" si="235"/>
        <v>429.2852970226889</v>
      </c>
      <c r="V293" s="4">
        <f t="shared" si="226"/>
        <v>0.08455234613832531</v>
      </c>
      <c r="W293" s="4">
        <f>SUMPRODUCT($J$4:J293,$S$65:S$354)</f>
        <v>11.156306000690758</v>
      </c>
      <c r="X293" s="6">
        <f t="shared" si="192"/>
        <v>2.2862268567153694</v>
      </c>
      <c r="Y293" s="4">
        <f t="shared" si="236"/>
        <v>2039</v>
      </c>
      <c r="Z293" s="4">
        <f t="shared" si="247"/>
        <v>289</v>
      </c>
      <c r="AA293" s="3">
        <f t="shared" si="210"/>
        <v>114.11</v>
      </c>
      <c r="AB293" s="6">
        <f t="shared" si="237"/>
        <v>220.4453745</v>
      </c>
      <c r="AC293" s="4">
        <f t="shared" si="221"/>
        <v>220.09350535264545</v>
      </c>
      <c r="AD293" s="4">
        <f t="shared" si="222"/>
        <v>8.56380598875027</v>
      </c>
      <c r="AE293" s="4">
        <f t="shared" si="252"/>
        <v>0.351869147354563</v>
      </c>
      <c r="AF293" s="6">
        <f t="shared" si="211"/>
        <v>1884.8380792240246</v>
      </c>
      <c r="AG293" s="30">
        <f t="shared" si="250"/>
        <v>0.582169467822504</v>
      </c>
      <c r="AH293" s="3">
        <f t="shared" si="212"/>
        <v>1.4553</v>
      </c>
      <c r="AI293" s="47">
        <f t="shared" si="238"/>
        <v>3.4303</v>
      </c>
      <c r="AJ293" s="4">
        <f t="shared" si="223"/>
        <v>2.8552533791437127</v>
      </c>
      <c r="AK293" s="4">
        <f t="shared" si="201"/>
        <v>120</v>
      </c>
      <c r="AL293" s="4">
        <f t="shared" si="202"/>
        <v>0.5750466208562872</v>
      </c>
      <c r="AM293" s="4">
        <f t="shared" si="213"/>
        <v>342.63040549724553</v>
      </c>
      <c r="AN293" s="26">
        <f t="shared" si="239"/>
        <v>0.2421427046297893</v>
      </c>
      <c r="AO293" s="4">
        <f t="shared" si="240"/>
        <v>0.9781922855901686</v>
      </c>
      <c r="AP293" s="3">
        <f t="shared" si="214"/>
        <v>30</v>
      </c>
      <c r="AQ293" s="3">
        <f t="shared" si="215"/>
        <v>870</v>
      </c>
      <c r="AR293" s="21">
        <f t="shared" si="216"/>
        <v>138</v>
      </c>
      <c r="AS293" s="35">
        <f t="shared" si="227"/>
        <v>0.11677051083521005</v>
      </c>
      <c r="AT293" s="36">
        <f t="shared" si="217"/>
        <v>-0.02204901723984366</v>
      </c>
      <c r="AU293" s="4">
        <f t="shared" si="218"/>
        <v>34.344515894372556</v>
      </c>
      <c r="AV293" s="4">
        <f t="shared" si="204"/>
        <v>0.3924696675636474</v>
      </c>
      <c r="AW293" s="4">
        <f t="shared" si="254"/>
        <v>0.0291084733911252</v>
      </c>
      <c r="AX293" s="3">
        <f t="shared" si="219"/>
        <v>67.8</v>
      </c>
      <c r="AY293" s="36">
        <f t="shared" si="205"/>
        <v>-0.4</v>
      </c>
      <c r="AZ293" s="36">
        <f t="shared" si="228"/>
        <v>-0.8000000000000002</v>
      </c>
      <c r="BA293" s="36">
        <f t="shared" si="206"/>
        <v>-0.1</v>
      </c>
      <c r="BB293" s="6">
        <f t="shared" si="253"/>
        <v>2.232117170122435</v>
      </c>
      <c r="BC293" s="6">
        <f t="shared" si="248"/>
        <v>0.020512848676889295</v>
      </c>
      <c r="BD293" s="4">
        <f t="shared" si="241"/>
        <v>0.7372728369357665</v>
      </c>
      <c r="BE293" s="4">
        <f>SUMPRODUCT(BC$4:BC293,$BD$65:BD$354)</f>
        <v>1.429772427927929</v>
      </c>
      <c r="BF293" s="23">
        <f t="shared" si="242"/>
        <v>1.429772427927929</v>
      </c>
      <c r="BG293" s="4">
        <f t="shared" si="207"/>
        <v>0.727131090136157</v>
      </c>
    </row>
    <row r="294" spans="5:59" ht="15">
      <c r="E294" s="1">
        <f t="shared" si="243"/>
        <v>290</v>
      </c>
      <c r="F294" s="1">
        <f t="shared" si="229"/>
        <v>2040</v>
      </c>
      <c r="G294" s="3">
        <f t="shared" si="208"/>
        <v>3.13</v>
      </c>
      <c r="H294" s="3">
        <f t="shared" si="209"/>
        <v>0.43</v>
      </c>
      <c r="I294" s="5">
        <f t="shared" si="230"/>
        <v>0.8662621342282228</v>
      </c>
      <c r="J294" s="5">
        <f t="shared" si="251"/>
        <v>1.2231135398987627</v>
      </c>
      <c r="K294" s="4">
        <f t="shared" si="231"/>
        <v>1.4706243258730147</v>
      </c>
      <c r="L294" s="4">
        <f t="shared" si="232"/>
        <v>0.0022771246271651524</v>
      </c>
      <c r="M294" s="4">
        <f t="shared" si="225"/>
        <v>7.417648980758317</v>
      </c>
      <c r="N294" s="4">
        <f t="shared" si="233"/>
        <v>0.016890911169751256</v>
      </c>
      <c r="O294" s="4">
        <f>SUMPRODUCT($M$4:M294,L$64:$L$354)</f>
        <v>5.5785744697918</v>
      </c>
      <c r="P294" s="4">
        <f t="shared" si="234"/>
        <v>1.8390745109665172</v>
      </c>
      <c r="Q294" s="4">
        <f t="shared" si="244"/>
        <v>70.75933308725409</v>
      </c>
      <c r="R294" s="4">
        <f t="shared" si="245"/>
        <v>115.04143549745103</v>
      </c>
      <c r="S294" s="4">
        <f t="shared" si="249"/>
        <v>0.06974208807813916</v>
      </c>
      <c r="T294" s="5">
        <f t="shared" si="246"/>
        <v>419.6705644304898</v>
      </c>
      <c r="U294" s="4">
        <f t="shared" si="235"/>
        <v>430.7584032791989</v>
      </c>
      <c r="V294" s="4">
        <f t="shared" si="226"/>
        <v>0.08530249222918408</v>
      </c>
      <c r="W294" s="4">
        <f>SUMPRODUCT($J$4:J294,$S$64:S$354)</f>
        <v>11.240738501667167</v>
      </c>
      <c r="X294" s="6">
        <f t="shared" si="192"/>
        <v>2.304554125845354</v>
      </c>
      <c r="Y294" s="4">
        <f t="shared" si="236"/>
        <v>2040</v>
      </c>
      <c r="Z294" s="4">
        <f t="shared" si="247"/>
        <v>290</v>
      </c>
      <c r="AA294" s="3">
        <f t="shared" si="210"/>
        <v>114.11</v>
      </c>
      <c r="AB294" s="6">
        <f t="shared" si="237"/>
        <v>220.4453745</v>
      </c>
      <c r="AC294" s="4">
        <f t="shared" si="221"/>
        <v>220.12309542114107</v>
      </c>
      <c r="AD294" s="4">
        <f t="shared" si="222"/>
        <v>8.56425330910698</v>
      </c>
      <c r="AE294" s="4">
        <f t="shared" si="252"/>
        <v>0.3222790788589407</v>
      </c>
      <c r="AF294" s="6">
        <f t="shared" si="211"/>
        <v>1885.1899483713792</v>
      </c>
      <c r="AG294" s="30">
        <f t="shared" si="250"/>
        <v>0.5823153480401493</v>
      </c>
      <c r="AH294" s="3">
        <f t="shared" si="212"/>
        <v>1.4553</v>
      </c>
      <c r="AI294" s="47">
        <f t="shared" si="238"/>
        <v>3.4303</v>
      </c>
      <c r="AJ294" s="4">
        <f t="shared" si="223"/>
        <v>2.8600454343175152</v>
      </c>
      <c r="AK294" s="4">
        <f t="shared" si="201"/>
        <v>120</v>
      </c>
      <c r="AL294" s="4">
        <f t="shared" si="202"/>
        <v>0.5702545656824847</v>
      </c>
      <c r="AM294" s="4">
        <f t="shared" si="213"/>
        <v>343.20545211810185</v>
      </c>
      <c r="AN294" s="26">
        <f t="shared" si="239"/>
        <v>0.24400590365501698</v>
      </c>
      <c r="AO294" s="4">
        <f t="shared" si="240"/>
        <v>0.9781338566716878</v>
      </c>
      <c r="AP294" s="3">
        <f t="shared" si="214"/>
        <v>30</v>
      </c>
      <c r="AQ294" s="3">
        <f t="shared" si="215"/>
        <v>870</v>
      </c>
      <c r="AR294" s="21">
        <f t="shared" si="216"/>
        <v>138</v>
      </c>
      <c r="AS294" s="35">
        <f t="shared" si="227"/>
        <v>0.11676441178317656</v>
      </c>
      <c r="AT294" s="36">
        <f t="shared" si="217"/>
        <v>-0.02210875055039531</v>
      </c>
      <c r="AU294" s="4">
        <f t="shared" si="218"/>
        <v>34.345449227349924</v>
      </c>
      <c r="AV294" s="4">
        <f t="shared" si="204"/>
        <v>0.39250886754869685</v>
      </c>
      <c r="AW294" s="4">
        <f t="shared" si="254"/>
        <v>0.029115767402007463</v>
      </c>
      <c r="AX294" s="3">
        <f t="shared" si="219"/>
        <v>67.8</v>
      </c>
      <c r="AY294" s="36">
        <f t="shared" si="205"/>
        <v>-0.4</v>
      </c>
      <c r="AZ294" s="36">
        <f t="shared" si="228"/>
        <v>-0.8000000000000002</v>
      </c>
      <c r="BA294" s="36">
        <f t="shared" si="206"/>
        <v>-0.1</v>
      </c>
      <c r="BB294" s="6">
        <f t="shared" si="253"/>
        <v>2.2525000124912244</v>
      </c>
      <c r="BC294" s="6">
        <f t="shared" si="248"/>
        <v>0.02038284236878951</v>
      </c>
      <c r="BD294" s="4">
        <f t="shared" si="241"/>
        <v>0.7359599290125705</v>
      </c>
      <c r="BE294" s="4">
        <f>SUMPRODUCT(BC$4:BC294,$BD$64:BD$354)</f>
        <v>1.447198270456192</v>
      </c>
      <c r="BF294" s="23">
        <f t="shared" si="242"/>
        <v>1.447198270456192</v>
      </c>
      <c r="BG294" s="4">
        <f t="shared" si="207"/>
        <v>0.7445569326644201</v>
      </c>
    </row>
    <row r="295" spans="5:59" ht="15">
      <c r="E295" s="1">
        <f t="shared" si="243"/>
        <v>291</v>
      </c>
      <c r="F295" s="1">
        <f t="shared" si="229"/>
        <v>2041</v>
      </c>
      <c r="G295" s="3">
        <f t="shared" si="208"/>
        <v>3.13</v>
      </c>
      <c r="H295" s="3">
        <f t="shared" si="209"/>
        <v>0.43</v>
      </c>
      <c r="I295" s="5">
        <f t="shared" si="230"/>
        <v>0.8672571788872856</v>
      </c>
      <c r="J295" s="5">
        <f t="shared" si="251"/>
        <v>1.224521230780616</v>
      </c>
      <c r="K295" s="4">
        <f t="shared" si="231"/>
        <v>1.4682215903320988</v>
      </c>
      <c r="L295" s="4">
        <f t="shared" si="232"/>
        <v>0.002327539466805986</v>
      </c>
      <c r="M295" s="4">
        <f t="shared" si="225"/>
        <v>7.476338538679892</v>
      </c>
      <c r="N295" s="4">
        <f t="shared" si="233"/>
        <v>0.017401473015980037</v>
      </c>
      <c r="O295" s="4">
        <f>SUMPRODUCT($M$4:M295,L$63:$L$354)</f>
        <v>5.6351515479021845</v>
      </c>
      <c r="P295" s="4">
        <f t="shared" si="234"/>
        <v>1.8411869907777074</v>
      </c>
      <c r="Q295" s="4">
        <f t="shared" si="244"/>
        <v>71.29484972328126</v>
      </c>
      <c r="R295" s="4">
        <f t="shared" si="245"/>
        <v>116.12175458317448</v>
      </c>
      <c r="S295" s="4">
        <f t="shared" si="249"/>
        <v>0.07028838678785565</v>
      </c>
      <c r="T295" s="5">
        <f t="shared" si="246"/>
        <v>421.12854175203626</v>
      </c>
      <c r="U295" s="4">
        <f t="shared" si="235"/>
        <v>432.2290276050719</v>
      </c>
      <c r="V295" s="4">
        <f t="shared" si="226"/>
        <v>0.08606962189904899</v>
      </c>
      <c r="W295" s="4">
        <f>SUMPRODUCT($J$4:J295,$S$63:S$354)</f>
        <v>11.324703607844505</v>
      </c>
      <c r="X295" s="6">
        <f t="shared" si="192"/>
        <v>2.322788105803567</v>
      </c>
      <c r="Y295" s="4">
        <f t="shared" si="236"/>
        <v>2041</v>
      </c>
      <c r="Z295" s="4">
        <f t="shared" si="247"/>
        <v>291</v>
      </c>
      <c r="AA295" s="3">
        <f t="shared" si="210"/>
        <v>114.11</v>
      </c>
      <c r="AB295" s="6">
        <f>AA295+$B$16</f>
        <v>220.4453745</v>
      </c>
      <c r="AC295" s="4">
        <f t="shared" si="221"/>
        <v>220.1501958634703</v>
      </c>
      <c r="AD295" s="4">
        <f t="shared" si="222"/>
        <v>8.564662956827751</v>
      </c>
      <c r="AE295" s="4">
        <f t="shared" si="252"/>
        <v>0.29517863652972665</v>
      </c>
      <c r="AF295" s="6">
        <f t="shared" si="211"/>
        <v>1885.512227450238</v>
      </c>
      <c r="AG295" s="30">
        <f t="shared" si="250"/>
        <v>0.582448948668655</v>
      </c>
      <c r="AH295" s="3">
        <f t="shared" si="212"/>
        <v>1.4553</v>
      </c>
      <c r="AI295" s="47">
        <f t="shared" si="238"/>
        <v>3.4303</v>
      </c>
      <c r="AJ295" s="4">
        <f t="shared" si="223"/>
        <v>2.864797555698203</v>
      </c>
      <c r="AK295" s="4">
        <f t="shared" si="201"/>
        <v>120</v>
      </c>
      <c r="AL295" s="4">
        <f t="shared" si="202"/>
        <v>0.5655024443017971</v>
      </c>
      <c r="AM295" s="4">
        <f t="shared" si="213"/>
        <v>343.77570668378434</v>
      </c>
      <c r="AN295" s="26">
        <f t="shared" si="239"/>
        <v>0.24585203520178608</v>
      </c>
      <c r="AO295" s="4">
        <f t="shared" si="240"/>
        <v>0.9780803539012592</v>
      </c>
      <c r="AP295" s="3">
        <f t="shared" si="214"/>
        <v>30</v>
      </c>
      <c r="AQ295" s="3">
        <f t="shared" si="215"/>
        <v>870</v>
      </c>
      <c r="AR295" s="21">
        <f t="shared" si="216"/>
        <v>138</v>
      </c>
      <c r="AS295" s="35">
        <f t="shared" si="227"/>
        <v>0.11675882694283955</v>
      </c>
      <c r="AT295" s="36">
        <f t="shared" si="217"/>
        <v>-0.022163450869156748</v>
      </c>
      <c r="AU295" s="4">
        <f t="shared" si="218"/>
        <v>34.346303919830575</v>
      </c>
      <c r="AV295" s="4">
        <f t="shared" si="204"/>
        <v>0.3925447646328842</v>
      </c>
      <c r="AW295" s="4">
        <f t="shared" si="254"/>
        <v>0.029122447433432754</v>
      </c>
      <c r="AX295" s="3">
        <f t="shared" si="219"/>
        <v>67.8</v>
      </c>
      <c r="AY295" s="36">
        <f t="shared" si="205"/>
        <v>-0.4</v>
      </c>
      <c r="AZ295" s="36">
        <f t="shared" si="228"/>
        <v>-0.8000000000000002</v>
      </c>
      <c r="BA295" s="36">
        <f t="shared" si="206"/>
        <v>-0.1</v>
      </c>
      <c r="BB295" s="6">
        <f t="shared" si="253"/>
        <v>2.2727563017403245</v>
      </c>
      <c r="BC295" s="6">
        <f t="shared" si="248"/>
        <v>0.020256289249100057</v>
      </c>
      <c r="BD295" s="4">
        <f t="shared" si="241"/>
        <v>0.7345926076195795</v>
      </c>
      <c r="BE295" s="4">
        <f>SUMPRODUCT(BC$4:BC295,$BD$63:BD$354)</f>
        <v>1.4645250459385475</v>
      </c>
      <c r="BF295" s="23">
        <f t="shared" si="242"/>
        <v>1.4645250459385475</v>
      </c>
      <c r="BG295" s="4">
        <f t="shared" si="207"/>
        <v>0.7618837081467755</v>
      </c>
    </row>
    <row r="296" spans="5:59" ht="15">
      <c r="E296" s="1">
        <f t="shared" si="243"/>
        <v>292</v>
      </c>
      <c r="F296" s="1">
        <f t="shared" si="229"/>
        <v>2042</v>
      </c>
      <c r="G296" s="3">
        <f t="shared" si="208"/>
        <v>3.13</v>
      </c>
      <c r="H296" s="3">
        <f t="shared" si="209"/>
        <v>0.43</v>
      </c>
      <c r="I296" s="5">
        <f t="shared" si="230"/>
        <v>0.8682016418030811</v>
      </c>
      <c r="J296" s="5">
        <f t="shared" si="251"/>
        <v>1.2259053345511735</v>
      </c>
      <c r="K296" s="4">
        <f t="shared" si="231"/>
        <v>1.4658930236457453</v>
      </c>
      <c r="L296" s="4">
        <f t="shared" si="232"/>
        <v>0.002379872524147964</v>
      </c>
      <c r="M296" s="4">
        <f t="shared" si="225"/>
        <v>7.534733348241248</v>
      </c>
      <c r="N296" s="4">
        <f t="shared" si="233"/>
        <v>0.01793170487226074</v>
      </c>
      <c r="O296" s="4">
        <f>SUMPRODUCT($M$4:M296,L$62:$L$354)</f>
        <v>5.691541262693307</v>
      </c>
      <c r="P296" s="4">
        <f t="shared" si="234"/>
        <v>1.8431920855479413</v>
      </c>
      <c r="Q296" s="4">
        <f t="shared" si="244"/>
        <v>71.82740188842813</v>
      </c>
      <c r="R296" s="4">
        <f t="shared" si="245"/>
        <v>117.19987441074109</v>
      </c>
      <c r="S296" s="4">
        <f t="shared" si="249"/>
        <v>0.07084948210655742</v>
      </c>
      <c r="T296" s="5">
        <f t="shared" si="246"/>
        <v>422.5843303863724</v>
      </c>
      <c r="U296" s="4">
        <f t="shared" si="235"/>
        <v>433.697249195404</v>
      </c>
      <c r="V296" s="4">
        <f t="shared" si="226"/>
        <v>0.08685475806461665</v>
      </c>
      <c r="W296" s="4">
        <f>SUMPRODUCT($J$4:J296,$S$62:S$354)</f>
        <v>11.408212720176603</v>
      </c>
      <c r="X296" s="6">
        <f aca="true" t="shared" si="255" ref="X296:X354">5.35*LN(U296/$U$4)</f>
        <v>2.340930511793884</v>
      </c>
      <c r="Y296" s="4">
        <f t="shared" si="236"/>
        <v>2042</v>
      </c>
      <c r="Z296" s="4">
        <f t="shared" si="247"/>
        <v>292</v>
      </c>
      <c r="AA296" s="3">
        <f t="shared" si="210"/>
        <v>114.11</v>
      </c>
      <c r="AB296" s="6">
        <f t="shared" si="237"/>
        <v>220.4453745</v>
      </c>
      <c r="AC296" s="4">
        <f t="shared" si="221"/>
        <v>220.1750163563084</v>
      </c>
      <c r="AD296" s="4">
        <f t="shared" si="222"/>
        <v>8.565038110568244</v>
      </c>
      <c r="AE296" s="4">
        <f t="shared" si="252"/>
        <v>0.2703581436916238</v>
      </c>
      <c r="AF296" s="6">
        <f t="shared" si="211"/>
        <v>1885.8074060867677</v>
      </c>
      <c r="AG296" s="30">
        <f t="shared" si="250"/>
        <v>0.5825713048049519</v>
      </c>
      <c r="AH296" s="3">
        <f t="shared" si="212"/>
        <v>1.4553</v>
      </c>
      <c r="AI296" s="47">
        <f t="shared" si="238"/>
        <v>3.4303</v>
      </c>
      <c r="AJ296" s="4">
        <f t="shared" si="223"/>
        <v>2.8695100760673844</v>
      </c>
      <c r="AK296" s="4">
        <f t="shared" si="201"/>
        <v>120</v>
      </c>
      <c r="AL296" s="4">
        <f t="shared" si="202"/>
        <v>0.5607899239326155</v>
      </c>
      <c r="AM296" s="4">
        <f t="shared" si="213"/>
        <v>344.3412091280861</v>
      </c>
      <c r="AN296" s="26">
        <f t="shared" si="239"/>
        <v>0.24768127084121444</v>
      </c>
      <c r="AO296" s="4">
        <f t="shared" si="240"/>
        <v>0.9780313607681599</v>
      </c>
      <c r="AP296" s="3">
        <f t="shared" si="214"/>
        <v>30</v>
      </c>
      <c r="AQ296" s="3">
        <f t="shared" si="215"/>
        <v>870</v>
      </c>
      <c r="AR296" s="21">
        <f t="shared" si="216"/>
        <v>138</v>
      </c>
      <c r="AS296" s="35">
        <f t="shared" si="227"/>
        <v>0.11675371283708806</v>
      </c>
      <c r="AT296" s="36">
        <f t="shared" si="217"/>
        <v>-0.022213543236317794</v>
      </c>
      <c r="AU296" s="4">
        <f t="shared" si="218"/>
        <v>34.34708661306747</v>
      </c>
      <c r="AV296" s="4">
        <f t="shared" si="204"/>
        <v>0.3925776377488337</v>
      </c>
      <c r="AW296" s="4">
        <f t="shared" si="254"/>
        <v>0.029128565240247598</v>
      </c>
      <c r="AX296" s="3">
        <f t="shared" si="219"/>
        <v>67.8</v>
      </c>
      <c r="AY296" s="36">
        <f t="shared" si="205"/>
        <v>-0.4</v>
      </c>
      <c r="AZ296" s="36">
        <f t="shared" si="228"/>
        <v>-0.8000000000000002</v>
      </c>
      <c r="BA296" s="36">
        <f t="shared" si="206"/>
        <v>-0.1</v>
      </c>
      <c r="BB296" s="6">
        <f t="shared" si="253"/>
        <v>2.292889290429131</v>
      </c>
      <c r="BC296" s="6">
        <f t="shared" si="248"/>
        <v>0.02013298868880664</v>
      </c>
      <c r="BD296" s="4">
        <f t="shared" si="241"/>
        <v>0.73316705076249</v>
      </c>
      <c r="BE296" s="4">
        <f>SUMPRODUCT(BC$4:BC296,$BD$62:BD$354)</f>
        <v>1.481753964477952</v>
      </c>
      <c r="BF296" s="23">
        <f t="shared" si="242"/>
        <v>1.481753964477952</v>
      </c>
      <c r="BG296" s="4">
        <f t="shared" si="207"/>
        <v>0.7791126266861801</v>
      </c>
    </row>
    <row r="297" spans="5:59" ht="15">
      <c r="E297" s="1">
        <f t="shared" si="243"/>
        <v>293</v>
      </c>
      <c r="F297" s="1">
        <f t="shared" si="229"/>
        <v>2043</v>
      </c>
      <c r="G297" s="3">
        <f t="shared" si="208"/>
        <v>3.13</v>
      </c>
      <c r="H297" s="3">
        <f t="shared" si="209"/>
        <v>0.43</v>
      </c>
      <c r="I297" s="5">
        <f t="shared" si="230"/>
        <v>0.8690970990697118</v>
      </c>
      <c r="J297" s="5">
        <f t="shared" si="251"/>
        <v>1.2272639014165856</v>
      </c>
      <c r="K297" s="4">
        <f t="shared" si="231"/>
        <v>1.4636389995137025</v>
      </c>
      <c r="L297" s="4">
        <f t="shared" si="232"/>
        <v>0.002434215482228249</v>
      </c>
      <c r="M297" s="4">
        <f t="shared" si="225"/>
        <v>7.5928386596753565</v>
      </c>
      <c r="N297" s="4">
        <f t="shared" si="233"/>
        <v>0.01848260541944294</v>
      </c>
      <c r="O297" s="4">
        <f>SUMPRODUCT($M$4:M297,L$61:$L$354)</f>
        <v>5.747745518350358</v>
      </c>
      <c r="P297" s="4">
        <f t="shared" si="234"/>
        <v>1.8450931413249982</v>
      </c>
      <c r="Q297" s="4">
        <f t="shared" si="244"/>
        <v>72.3570618937168</v>
      </c>
      <c r="R297" s="4">
        <f t="shared" si="245"/>
        <v>118.27589691276137</v>
      </c>
      <c r="S297" s="4">
        <f t="shared" si="249"/>
        <v>0.07142603796508598</v>
      </c>
      <c r="T297" s="5">
        <f t="shared" si="246"/>
        <v>424.0380391344128</v>
      </c>
      <c r="U297" s="4">
        <f t="shared" si="235"/>
        <v>435.16314221904975</v>
      </c>
      <c r="V297" s="4">
        <f t="shared" si="226"/>
        <v>0.08765859801576058</v>
      </c>
      <c r="W297" s="4">
        <f>SUMPRODUCT($J$4:J297,$S$61:S$354)</f>
        <v>11.491272800965515</v>
      </c>
      <c r="X297" s="6">
        <f t="shared" si="255"/>
        <v>2.358982974986246</v>
      </c>
      <c r="Y297" s="4">
        <f t="shared" si="236"/>
        <v>2043</v>
      </c>
      <c r="Z297" s="4">
        <f t="shared" si="247"/>
        <v>293</v>
      </c>
      <c r="AA297" s="3">
        <f t="shared" si="210"/>
        <v>114.11</v>
      </c>
      <c r="AB297" s="6">
        <f t="shared" si="237"/>
        <v>220.4453745</v>
      </c>
      <c r="AC297" s="4">
        <f t="shared" si="221"/>
        <v>220.19774888402964</v>
      </c>
      <c r="AD297" s="4">
        <f t="shared" si="222"/>
        <v>8.565381679827206</v>
      </c>
      <c r="AE297" s="4">
        <f t="shared" si="252"/>
        <v>0.24762561597037802</v>
      </c>
      <c r="AF297" s="6">
        <f t="shared" si="211"/>
        <v>1886.0777642304593</v>
      </c>
      <c r="AG297" s="30">
        <f t="shared" si="250"/>
        <v>0.5826833640591399</v>
      </c>
      <c r="AH297" s="3">
        <f t="shared" si="212"/>
        <v>1.4553</v>
      </c>
      <c r="AI297" s="47">
        <f t="shared" si="238"/>
        <v>3.4303</v>
      </c>
      <c r="AJ297" s="4">
        <f t="shared" si="223"/>
        <v>2.8741833254334894</v>
      </c>
      <c r="AK297" s="4">
        <f t="shared" si="201"/>
        <v>120</v>
      </c>
      <c r="AL297" s="4">
        <f t="shared" si="202"/>
        <v>0.5561166745665105</v>
      </c>
      <c r="AM297" s="4">
        <f t="shared" si="213"/>
        <v>344.9019990520187</v>
      </c>
      <c r="AN297" s="26">
        <f t="shared" si="239"/>
        <v>0.2494937801190781</v>
      </c>
      <c r="AO297" s="4">
        <f t="shared" si="240"/>
        <v>0.9779864961694766</v>
      </c>
      <c r="AP297" s="3">
        <f t="shared" si="214"/>
        <v>30</v>
      </c>
      <c r="AQ297" s="3">
        <f t="shared" si="215"/>
        <v>870</v>
      </c>
      <c r="AR297" s="21">
        <f t="shared" si="216"/>
        <v>138</v>
      </c>
      <c r="AS297" s="35">
        <f t="shared" si="227"/>
        <v>0.11674902968482467</v>
      </c>
      <c r="AT297" s="36">
        <f t="shared" si="217"/>
        <v>-0.022259416640317636</v>
      </c>
      <c r="AU297" s="4">
        <f t="shared" si="218"/>
        <v>34.347803385004966</v>
      </c>
      <c r="AV297" s="4">
        <f t="shared" si="204"/>
        <v>0.39260774217020855</v>
      </c>
      <c r="AW297" s="4">
        <f t="shared" si="254"/>
        <v>0.029134168202956997</v>
      </c>
      <c r="AX297" s="3">
        <f t="shared" si="219"/>
        <v>67.8</v>
      </c>
      <c r="AY297" s="36">
        <f t="shared" si="205"/>
        <v>-0.4</v>
      </c>
      <c r="AZ297" s="36">
        <f t="shared" si="228"/>
        <v>-0.8000000000000002</v>
      </c>
      <c r="BA297" s="36">
        <f t="shared" si="206"/>
        <v>-0.1</v>
      </c>
      <c r="BB297" s="6">
        <f t="shared" si="253"/>
        <v>2.3129020295376295</v>
      </c>
      <c r="BC297" s="6">
        <f t="shared" si="248"/>
        <v>0.020012739108498323</v>
      </c>
      <c r="BD297" s="4">
        <f t="shared" si="241"/>
        <v>0.7316791618048867</v>
      </c>
      <c r="BE297" s="4">
        <f>SUMPRODUCT(BC$4:BC297,$BD$61:BD$354)</f>
        <v>1.4988863051295584</v>
      </c>
      <c r="BF297" s="23">
        <f t="shared" si="242"/>
        <v>1.4988863051295584</v>
      </c>
      <c r="BG297" s="4">
        <f t="shared" si="207"/>
        <v>0.7962449673377865</v>
      </c>
    </row>
    <row r="298" spans="5:59" ht="15">
      <c r="E298" s="1">
        <f t="shared" si="243"/>
        <v>294</v>
      </c>
      <c r="F298" s="1">
        <f t="shared" si="229"/>
        <v>2044</v>
      </c>
      <c r="G298" s="3">
        <f t="shared" si="208"/>
        <v>3.13</v>
      </c>
      <c r="H298" s="3">
        <f t="shared" si="209"/>
        <v>0.43</v>
      </c>
      <c r="I298" s="5">
        <f t="shared" si="230"/>
        <v>0.8699451072487534</v>
      </c>
      <c r="J298" s="5">
        <f t="shared" si="251"/>
        <v>1.2285962933600607</v>
      </c>
      <c r="K298" s="4">
        <f t="shared" si="231"/>
        <v>1.461458599391186</v>
      </c>
      <c r="L298" s="4">
        <f t="shared" si="232"/>
        <v>0.002490664671759625</v>
      </c>
      <c r="M298" s="4">
        <f t="shared" si="225"/>
        <v>7.650659670390282</v>
      </c>
      <c r="N298" s="4">
        <f t="shared" si="233"/>
        <v>0.019055227756697213</v>
      </c>
      <c r="O298" s="4">
        <f>SUMPRODUCT($M$4:M298,L$60:$L$354)</f>
        <v>5.8037662077011785</v>
      </c>
      <c r="P298" s="4">
        <f t="shared" si="234"/>
        <v>1.8468934626891036</v>
      </c>
      <c r="Q298" s="4">
        <f t="shared" si="244"/>
        <v>72.88387389783652</v>
      </c>
      <c r="R298" s="4">
        <f t="shared" si="245"/>
        <v>119.34986844923982</v>
      </c>
      <c r="S298" s="4">
        <f t="shared" si="249"/>
        <v>0.07201875501186247</v>
      </c>
      <c r="T298" s="5">
        <f t="shared" si="246"/>
        <v>425.48971946751607</v>
      </c>
      <c r="U298" s="4">
        <f t="shared" si="235"/>
        <v>436.62678121856345</v>
      </c>
      <c r="V298" s="4">
        <f t="shared" si="226"/>
        <v>0.08848197545998053</v>
      </c>
      <c r="W298" s="4">
        <f>SUMPRODUCT($J$4:J298,$S$60:S$354)</f>
        <v>11.57389053240065</v>
      </c>
      <c r="X298" s="6">
        <f t="shared" si="255"/>
        <v>2.3769471101386763</v>
      </c>
      <c r="Y298" s="4">
        <f t="shared" si="236"/>
        <v>2044</v>
      </c>
      <c r="Z298" s="4">
        <f t="shared" si="247"/>
        <v>294</v>
      </c>
      <c r="AA298" s="3">
        <f t="shared" si="210"/>
        <v>114.11</v>
      </c>
      <c r="AB298" s="6">
        <f t="shared" si="237"/>
        <v>220.4453745</v>
      </c>
      <c r="AC298" s="4">
        <f t="shared" si="221"/>
        <v>220.21856923693824</v>
      </c>
      <c r="AD298" s="4">
        <f t="shared" si="222"/>
        <v>8.565696327891807</v>
      </c>
      <c r="AE298" s="4">
        <f t="shared" si="252"/>
        <v>0.2268052630617774</v>
      </c>
      <c r="AF298" s="6">
        <f t="shared" si="211"/>
        <v>1886.3253898464295</v>
      </c>
      <c r="AG298" s="30">
        <f t="shared" si="250"/>
        <v>0.582785993986704</v>
      </c>
      <c r="AH298" s="3">
        <f t="shared" si="212"/>
        <v>1.4553</v>
      </c>
      <c r="AI298" s="47">
        <f t="shared" si="238"/>
        <v>3.4303</v>
      </c>
      <c r="AJ298" s="4">
        <f t="shared" si="223"/>
        <v>2.878817631054877</v>
      </c>
      <c r="AK298" s="4">
        <f t="shared" si="201"/>
        <v>120</v>
      </c>
      <c r="AL298" s="4">
        <f t="shared" si="202"/>
        <v>0.5514823689451229</v>
      </c>
      <c r="AM298" s="4">
        <f t="shared" si="213"/>
        <v>345.4581157265852</v>
      </c>
      <c r="AN298" s="26">
        <f t="shared" si="239"/>
        <v>0.251289730585848</v>
      </c>
      <c r="AO298" s="4">
        <f t="shared" si="240"/>
        <v>0.977945411369216</v>
      </c>
      <c r="AP298" s="3">
        <f t="shared" si="214"/>
        <v>30</v>
      </c>
      <c r="AQ298" s="3">
        <f t="shared" si="215"/>
        <v>870</v>
      </c>
      <c r="AR298" s="21">
        <f t="shared" si="216"/>
        <v>138</v>
      </c>
      <c r="AS298" s="35">
        <f t="shared" si="227"/>
        <v>0.11674474108354485</v>
      </c>
      <c r="AT298" s="36">
        <f t="shared" si="217"/>
        <v>-0.022301427101017533</v>
      </c>
      <c r="AU298" s="4">
        <f t="shared" si="218"/>
        <v>34.3484597984534</v>
      </c>
      <c r="AV298" s="4">
        <f t="shared" si="204"/>
        <v>0.3926353115350427</v>
      </c>
      <c r="AW298" s="4">
        <f t="shared" si="254"/>
        <v>0.0291392996993352</v>
      </c>
      <c r="AX298" s="3">
        <f t="shared" si="219"/>
        <v>67.8</v>
      </c>
      <c r="AY298" s="36">
        <f t="shared" si="205"/>
        <v>-0.4</v>
      </c>
      <c r="AZ298" s="36">
        <f t="shared" si="228"/>
        <v>-0.8000000000000002</v>
      </c>
      <c r="BA298" s="36">
        <f t="shared" si="206"/>
        <v>-0.1</v>
      </c>
      <c r="BB298" s="6">
        <f t="shared" si="253"/>
        <v>2.332797445945606</v>
      </c>
      <c r="BC298" s="6">
        <f t="shared" si="248"/>
        <v>0.01989541640797654</v>
      </c>
      <c r="BD298" s="4">
        <f t="shared" si="241"/>
        <v>0.7301245497185099</v>
      </c>
      <c r="BE298" s="4">
        <f>SUMPRODUCT(BC$4:BC298,$BD$60:BD$354)</f>
        <v>1.5159234016949301</v>
      </c>
      <c r="BF298" s="23">
        <f t="shared" si="242"/>
        <v>1.5159234016949301</v>
      </c>
      <c r="BG298" s="4">
        <f t="shared" si="207"/>
        <v>0.8132820639031582</v>
      </c>
    </row>
    <row r="299" spans="5:59" ht="15">
      <c r="E299" s="1">
        <f t="shared" si="243"/>
        <v>295</v>
      </c>
      <c r="F299" s="1">
        <f t="shared" si="229"/>
        <v>2045</v>
      </c>
      <c r="G299" s="3">
        <f t="shared" si="208"/>
        <v>3.13</v>
      </c>
      <c r="H299" s="3">
        <f t="shared" si="209"/>
        <v>0.43</v>
      </c>
      <c r="I299" s="5">
        <f t="shared" si="230"/>
        <v>0.8707471791953768</v>
      </c>
      <c r="J299" s="5">
        <f t="shared" si="251"/>
        <v>1.2299050733538308</v>
      </c>
      <c r="K299" s="4">
        <f t="shared" si="231"/>
        <v>1.4593477474507923</v>
      </c>
      <c r="L299" s="4">
        <f t="shared" si="232"/>
        <v>0.002549321314734513</v>
      </c>
      <c r="M299" s="4">
        <f t="shared" si="225"/>
        <v>7.708201475192288</v>
      </c>
      <c r="N299" s="4">
        <f t="shared" si="233"/>
        <v>0.019650682318975717</v>
      </c>
      <c r="O299" s="4">
        <f>SUMPRODUCT($M$4:M299,L$59:$L$354)</f>
        <v>5.859605213760503</v>
      </c>
      <c r="P299" s="4">
        <f t="shared" si="234"/>
        <v>1.8485962614317852</v>
      </c>
      <c r="Q299" s="4">
        <f t="shared" si="244"/>
        <v>73.40788028285054</v>
      </c>
      <c r="R299" s="4">
        <f t="shared" si="245"/>
        <v>120.42183285986319</v>
      </c>
      <c r="S299" s="4">
        <f t="shared" si="249"/>
        <v>0.07262837306740226</v>
      </c>
      <c r="T299" s="5">
        <f t="shared" si="246"/>
        <v>426.9394216398306</v>
      </c>
      <c r="U299" s="4">
        <f t="shared" si="235"/>
        <v>438.0882398179546</v>
      </c>
      <c r="V299" s="4">
        <f t="shared" si="226"/>
        <v>0.08932600450503277</v>
      </c>
      <c r="W299" s="4">
        <f>SUMPRODUCT($J$4:J299,$S$59:S$354)</f>
        <v>11.656075131181279</v>
      </c>
      <c r="X299" s="6">
        <f t="shared" si="255"/>
        <v>2.394824500132331</v>
      </c>
      <c r="Y299" s="4">
        <f t="shared" si="236"/>
        <v>2045</v>
      </c>
      <c r="Z299" s="4">
        <f t="shared" si="247"/>
        <v>295</v>
      </c>
      <c r="AA299" s="3">
        <f t="shared" si="210"/>
        <v>114.11</v>
      </c>
      <c r="AB299" s="6">
        <f t="shared" si="237"/>
        <v>220.4453745</v>
      </c>
      <c r="AC299" s="4">
        <f t="shared" si="221"/>
        <v>220.23763838175842</v>
      </c>
      <c r="AD299" s="4">
        <f t="shared" si="222"/>
        <v>8.565984492802064</v>
      </c>
      <c r="AE299" s="4">
        <f t="shared" si="252"/>
        <v>0.20773611824159843</v>
      </c>
      <c r="AF299" s="6">
        <f t="shared" si="211"/>
        <v>1886.5521951094913</v>
      </c>
      <c r="AG299" s="30">
        <f t="shared" si="250"/>
        <v>0.5828799888832509</v>
      </c>
      <c r="AH299" s="3">
        <f t="shared" si="212"/>
        <v>1.4553</v>
      </c>
      <c r="AI299" s="47">
        <f t="shared" si="238"/>
        <v>3.4303</v>
      </c>
      <c r="AJ299" s="4">
        <f t="shared" si="223"/>
        <v>2.883413317462753</v>
      </c>
      <c r="AK299" s="4">
        <f t="shared" si="201"/>
        <v>120</v>
      </c>
      <c r="AL299" s="4">
        <f t="shared" si="202"/>
        <v>0.5468866825372469</v>
      </c>
      <c r="AM299" s="4">
        <f t="shared" si="213"/>
        <v>346.00959809553035</v>
      </c>
      <c r="AN299" s="26">
        <f t="shared" si="239"/>
        <v>0.253069287826157</v>
      </c>
      <c r="AO299" s="4">
        <f t="shared" si="240"/>
        <v>0.9779077872235323</v>
      </c>
      <c r="AP299" s="3">
        <f t="shared" si="214"/>
        <v>30</v>
      </c>
      <c r="AQ299" s="3">
        <f t="shared" si="215"/>
        <v>870</v>
      </c>
      <c r="AR299" s="21">
        <f t="shared" si="216"/>
        <v>138</v>
      </c>
      <c r="AS299" s="35">
        <f t="shared" si="227"/>
        <v>0.11674081371969479</v>
      </c>
      <c r="AT299" s="36">
        <f t="shared" si="217"/>
        <v>-0.022339900485129748</v>
      </c>
      <c r="AU299" s="4">
        <f t="shared" si="218"/>
        <v>34.349060945080154</v>
      </c>
      <c r="AV299" s="4">
        <f t="shared" si="204"/>
        <v>0.3926605596933665</v>
      </c>
      <c r="AW299" s="4">
        <f t="shared" si="254"/>
        <v>0.029143999444162547</v>
      </c>
      <c r="AX299" s="3">
        <f t="shared" si="219"/>
        <v>67.8</v>
      </c>
      <c r="AY299" s="36">
        <f t="shared" si="205"/>
        <v>-0.4</v>
      </c>
      <c r="AZ299" s="36">
        <f t="shared" si="228"/>
        <v>-0.8000000000000002</v>
      </c>
      <c r="BA299" s="36">
        <f t="shared" si="206"/>
        <v>-0.1</v>
      </c>
      <c r="BB299" s="6">
        <f t="shared" si="253"/>
        <v>2.352578335979268</v>
      </c>
      <c r="BC299" s="6">
        <f t="shared" si="248"/>
        <v>0.01978089003366179</v>
      </c>
      <c r="BD299" s="4">
        <f t="shared" si="241"/>
        <v>0.7284985079132718</v>
      </c>
      <c r="BE299" s="4">
        <f>SUMPRODUCT(BC$4:BC299,$BD$59:BD$354)</f>
        <v>1.5328666332019079</v>
      </c>
      <c r="BF299" s="23">
        <f t="shared" si="242"/>
        <v>1.5328666332019079</v>
      </c>
      <c r="BG299" s="4">
        <f t="shared" si="207"/>
        <v>0.8302252954101359</v>
      </c>
    </row>
    <row r="300" spans="5:59" ht="15">
      <c r="E300" s="1">
        <f t="shared" si="243"/>
        <v>296</v>
      </c>
      <c r="F300" s="1">
        <f t="shared" si="229"/>
        <v>2046</v>
      </c>
      <c r="G300" s="3">
        <f t="shared" si="208"/>
        <v>3.13</v>
      </c>
      <c r="H300" s="3">
        <f t="shared" si="209"/>
        <v>0.43</v>
      </c>
      <c r="I300" s="5">
        <f t="shared" si="230"/>
        <v>0.8715047254870516</v>
      </c>
      <c r="J300" s="5">
        <f t="shared" si="251"/>
        <v>1.2311905144305673</v>
      </c>
      <c r="K300" s="4">
        <f t="shared" si="231"/>
        <v>1.4573047600823812</v>
      </c>
      <c r="L300" s="4">
        <f t="shared" si="232"/>
        <v>0.002610291783013933</v>
      </c>
      <c r="M300" s="4">
        <f t="shared" si="225"/>
        <v>7.765468944427648</v>
      </c>
      <c r="N300" s="4">
        <f t="shared" si="233"/>
        <v>0.020270139776889372</v>
      </c>
      <c r="O300" s="4">
        <f>SUMPRODUCT($M$4:M300,L$58:$L$354)</f>
        <v>5.9152644122186375</v>
      </c>
      <c r="P300" s="4">
        <f t="shared" si="234"/>
        <v>1.8502045322090108</v>
      </c>
      <c r="Q300" s="4">
        <f t="shared" si="244"/>
        <v>73.92913950605585</v>
      </c>
      <c r="R300" s="4">
        <f t="shared" si="245"/>
        <v>121.49186811059728</v>
      </c>
      <c r="S300" s="4">
        <f t="shared" si="249"/>
        <v>0.07325567380970893</v>
      </c>
      <c r="T300" s="5">
        <f t="shared" si="246"/>
        <v>428.3872336220476</v>
      </c>
      <c r="U300" s="4">
        <f t="shared" si="235"/>
        <v>439.5475875654054</v>
      </c>
      <c r="V300" s="4">
        <f t="shared" si="226"/>
        <v>0.09019169072273338</v>
      </c>
      <c r="W300" s="4">
        <f>SUMPRODUCT($J$4:J300,$S$58:S$354)</f>
        <v>11.737834254815741</v>
      </c>
      <c r="X300" s="6">
        <f t="shared" si="255"/>
        <v>2.412616658111958</v>
      </c>
      <c r="Y300" s="4">
        <f t="shared" si="236"/>
        <v>2046</v>
      </c>
      <c r="Z300" s="4">
        <f t="shared" si="247"/>
        <v>296</v>
      </c>
      <c r="AA300" s="3">
        <f t="shared" si="210"/>
        <v>114.11</v>
      </c>
      <c r="AB300" s="6">
        <f t="shared" si="237"/>
        <v>220.4453745</v>
      </c>
      <c r="AC300" s="4">
        <f t="shared" si="221"/>
        <v>220.2551037154147</v>
      </c>
      <c r="AD300" s="4">
        <f t="shared" si="222"/>
        <v>8.566248406509397</v>
      </c>
      <c r="AE300" s="4">
        <f t="shared" si="252"/>
        <v>0.19027078458532287</v>
      </c>
      <c r="AF300" s="6">
        <f t="shared" si="211"/>
        <v>1886.759931227733</v>
      </c>
      <c r="AG300" s="30">
        <f t="shared" si="250"/>
        <v>0.5829660759974274</v>
      </c>
      <c r="AH300" s="3">
        <f t="shared" si="212"/>
        <v>1.4553</v>
      </c>
      <c r="AI300" s="47">
        <f t="shared" si="238"/>
        <v>3.4303</v>
      </c>
      <c r="AJ300" s="4">
        <f t="shared" si="223"/>
        <v>2.887970706483897</v>
      </c>
      <c r="AK300" s="4">
        <f t="shared" si="201"/>
        <v>120</v>
      </c>
      <c r="AL300" s="4">
        <f t="shared" si="202"/>
        <v>0.542329293516103</v>
      </c>
      <c r="AM300" s="4">
        <f t="shared" si="213"/>
        <v>346.5564847780676</v>
      </c>
      <c r="AN300" s="26">
        <f t="shared" si="239"/>
        <v>0.2548326154877004</v>
      </c>
      <c r="AO300" s="4">
        <f t="shared" si="240"/>
        <v>0.977873331647993</v>
      </c>
      <c r="AP300" s="3">
        <f t="shared" si="214"/>
        <v>30</v>
      </c>
      <c r="AQ300" s="3">
        <f t="shared" si="215"/>
        <v>870</v>
      </c>
      <c r="AR300" s="21">
        <f t="shared" si="216"/>
        <v>138</v>
      </c>
      <c r="AS300" s="35">
        <f t="shared" si="227"/>
        <v>0.11673721710429401</v>
      </c>
      <c r="AT300" s="36">
        <f t="shared" si="217"/>
        <v>-0.022375135077805263</v>
      </c>
      <c r="AU300" s="4">
        <f t="shared" si="218"/>
        <v>34.34961148559071</v>
      </c>
      <c r="AV300" s="4">
        <f t="shared" si="204"/>
        <v>0.3926836823948097</v>
      </c>
      <c r="AW300" s="4">
        <f t="shared" si="254"/>
        <v>0.029148303799871374</v>
      </c>
      <c r="AX300" s="3">
        <f t="shared" si="219"/>
        <v>67.8</v>
      </c>
      <c r="AY300" s="36">
        <f t="shared" si="205"/>
        <v>-0.4</v>
      </c>
      <c r="AZ300" s="36">
        <f t="shared" si="228"/>
        <v>-0.8000000000000002</v>
      </c>
      <c r="BA300" s="36">
        <f t="shared" si="206"/>
        <v>-0.1</v>
      </c>
      <c r="BB300" s="6">
        <f t="shared" si="253"/>
        <v>2.3722473357917666</v>
      </c>
      <c r="BC300" s="6">
        <f t="shared" si="248"/>
        <v>0.01966899981249881</v>
      </c>
      <c r="BD300" s="4">
        <f t="shared" si="241"/>
        <v>0.7267959915448873</v>
      </c>
      <c r="BE300" s="4">
        <f>SUMPRODUCT(BC$4:BC300,$BD$58:BD$354)</f>
        <v>1.5497174147058563</v>
      </c>
      <c r="BF300" s="23">
        <f t="shared" si="242"/>
        <v>1.5497174147058563</v>
      </c>
      <c r="BG300" s="4">
        <f t="shared" si="207"/>
        <v>0.8470760769140844</v>
      </c>
    </row>
    <row r="301" spans="5:59" ht="15">
      <c r="E301" s="1">
        <f t="shared" si="243"/>
        <v>297</v>
      </c>
      <c r="F301" s="1">
        <f t="shared" si="229"/>
        <v>2047</v>
      </c>
      <c r="G301" s="3">
        <f t="shared" si="208"/>
        <v>3.13</v>
      </c>
      <c r="H301" s="3">
        <f t="shared" si="209"/>
        <v>0.43</v>
      </c>
      <c r="I301" s="5">
        <f t="shared" si="230"/>
        <v>0.8722191023680348</v>
      </c>
      <c r="J301" s="5">
        <f t="shared" si="251"/>
        <v>1.2324515337109752</v>
      </c>
      <c r="K301" s="4">
        <f t="shared" si="231"/>
        <v>1.45532936392099</v>
      </c>
      <c r="L301" s="4">
        <f t="shared" si="232"/>
        <v>0.0026736878737133925</v>
      </c>
      <c r="M301" s="4">
        <f t="shared" si="225"/>
        <v>7.822466821222484</v>
      </c>
      <c r="N301" s="4">
        <f t="shared" si="233"/>
        <v>0.020914834682427906</v>
      </c>
      <c r="O301" s="4">
        <f>SUMPRODUCT($M$4:M301,L$57:$L$354)</f>
        <v>5.970745666895146</v>
      </c>
      <c r="P301" s="4">
        <f t="shared" si="234"/>
        <v>1.851721154327338</v>
      </c>
      <c r="Q301" s="4">
        <f t="shared" si="244"/>
        <v>74.44770013551641</v>
      </c>
      <c r="R301" s="4">
        <f t="shared" si="245"/>
        <v>122.56003328732086</v>
      </c>
      <c r="S301" s="4">
        <f t="shared" si="249"/>
        <v>0.07390148372337152</v>
      </c>
      <c r="T301" s="5">
        <f t="shared" si="246"/>
        <v>429.83322447800276</v>
      </c>
      <c r="U301" s="4">
        <f t="shared" si="235"/>
        <v>441.0048923254878</v>
      </c>
      <c r="V301" s="4">
        <f t="shared" si="226"/>
        <v>0.0910799969583859</v>
      </c>
      <c r="W301" s="4">
        <f>SUMPRODUCT($J$4:J301,$S$57:S$354)</f>
        <v>11.819173735973388</v>
      </c>
      <c r="X301" s="6">
        <f t="shared" si="255"/>
        <v>2.430325057696881</v>
      </c>
      <c r="Y301" s="4">
        <f t="shared" si="236"/>
        <v>2047</v>
      </c>
      <c r="Z301" s="4">
        <f t="shared" si="247"/>
        <v>297</v>
      </c>
      <c r="AA301" s="3">
        <f t="shared" si="210"/>
        <v>114.11</v>
      </c>
      <c r="AB301" s="6">
        <f t="shared" si="237"/>
        <v>220.4453745</v>
      </c>
      <c r="AC301" s="4">
        <f t="shared" si="221"/>
        <v>220.27110021215802</v>
      </c>
      <c r="AD301" s="4">
        <f t="shared" si="222"/>
        <v>8.566490112388182</v>
      </c>
      <c r="AE301" s="4">
        <f t="shared" si="252"/>
        <v>0.17427428784199606</v>
      </c>
      <c r="AF301" s="6">
        <f t="shared" si="211"/>
        <v>1886.9502020123182</v>
      </c>
      <c r="AG301" s="30">
        <f t="shared" si="250"/>
        <v>0.5830449212126627</v>
      </c>
      <c r="AH301" s="3">
        <f t="shared" si="212"/>
        <v>1.4553</v>
      </c>
      <c r="AI301" s="47">
        <f t="shared" si="238"/>
        <v>3.4303</v>
      </c>
      <c r="AJ301" s="4">
        <f t="shared" si="223"/>
        <v>2.892490117263198</v>
      </c>
      <c r="AK301" s="4">
        <f t="shared" si="201"/>
        <v>120</v>
      </c>
      <c r="AL301" s="4">
        <f t="shared" si="202"/>
        <v>0.5378098827368021</v>
      </c>
      <c r="AM301" s="4">
        <f t="shared" si="213"/>
        <v>347.0988140715837</v>
      </c>
      <c r="AN301" s="26">
        <f t="shared" si="239"/>
        <v>0.2565798753095993</v>
      </c>
      <c r="AO301" s="4">
        <f t="shared" si="240"/>
        <v>0.9778417773051017</v>
      </c>
      <c r="AP301" s="3">
        <f t="shared" si="214"/>
        <v>30</v>
      </c>
      <c r="AQ301" s="3">
        <f t="shared" si="215"/>
        <v>870</v>
      </c>
      <c r="AR301" s="21">
        <f t="shared" si="216"/>
        <v>138</v>
      </c>
      <c r="AS301" s="35">
        <f t="shared" si="227"/>
        <v>0.11673392333154962</v>
      </c>
      <c r="AT301" s="36">
        <f t="shared" si="217"/>
        <v>-0.022407403932046398</v>
      </c>
      <c r="AU301" s="4">
        <f t="shared" si="218"/>
        <v>34.35011568643822</v>
      </c>
      <c r="AV301" s="4">
        <f t="shared" si="204"/>
        <v>0.39270485883040535</v>
      </c>
      <c r="AW301" s="4">
        <f t="shared" si="254"/>
        <v>0.02915224606063314</v>
      </c>
      <c r="AX301" s="3">
        <f t="shared" si="219"/>
        <v>67.8</v>
      </c>
      <c r="AY301" s="36">
        <f t="shared" si="205"/>
        <v>-0.4</v>
      </c>
      <c r="AZ301" s="36">
        <f t="shared" si="228"/>
        <v>-0.8000000000000002</v>
      </c>
      <c r="BA301" s="36">
        <f t="shared" si="206"/>
        <v>-0.1</v>
      </c>
      <c r="BB301" s="6">
        <f t="shared" si="253"/>
        <v>2.3918069591101814</v>
      </c>
      <c r="BC301" s="6">
        <f t="shared" si="248"/>
        <v>0.019559623318414765</v>
      </c>
      <c r="BD301" s="4">
        <f t="shared" si="241"/>
        <v>0.7250115931906397</v>
      </c>
      <c r="BE301" s="4">
        <f>SUMPRODUCT(BC$4:BC301,$BD$57:BD$354)</f>
        <v>1.5664771872718422</v>
      </c>
      <c r="BF301" s="23">
        <f t="shared" si="242"/>
        <v>1.5664771872718422</v>
      </c>
      <c r="BG301" s="4">
        <f t="shared" si="207"/>
        <v>0.8638358494800702</v>
      </c>
    </row>
    <row r="302" spans="5:59" ht="15">
      <c r="E302" s="1">
        <f t="shared" si="243"/>
        <v>298</v>
      </c>
      <c r="F302" s="1">
        <f t="shared" si="229"/>
        <v>2048</v>
      </c>
      <c r="G302" s="3">
        <f t="shared" si="208"/>
        <v>3.13</v>
      </c>
      <c r="H302" s="3">
        <f t="shared" si="209"/>
        <v>0.43</v>
      </c>
      <c r="I302" s="5">
        <f t="shared" si="230"/>
        <v>0.8728916396869455</v>
      </c>
      <c r="J302" s="5">
        <f t="shared" si="251"/>
        <v>1.233689267127947</v>
      </c>
      <c r="K302" s="4">
        <f t="shared" si="231"/>
        <v>1.4534190931851074</v>
      </c>
      <c r="L302" s="4">
        <f t="shared" si="232"/>
        <v>0.0027396271037253093</v>
      </c>
      <c r="M302" s="4">
        <f t="shared" si="225"/>
        <v>7.879199778568282</v>
      </c>
      <c r="N302" s="4">
        <f t="shared" si="233"/>
        <v>0.02158606926903212</v>
      </c>
      <c r="O302" s="4">
        <f>SUMPRODUCT($M$4:M302,L$56:$L$354)</f>
        <v>6.026050827512896</v>
      </c>
      <c r="P302" s="4">
        <f t="shared" si="234"/>
        <v>1.8531489510553856</v>
      </c>
      <c r="Q302" s="4">
        <f t="shared" si="244"/>
        <v>74.96359916517929</v>
      </c>
      <c r="R302" s="4">
        <f t="shared" si="245"/>
        <v>123.62636475737739</v>
      </c>
      <c r="S302" s="4">
        <f t="shared" si="249"/>
        <v>0.07456667735121227</v>
      </c>
      <c r="T302" s="5">
        <f t="shared" si="246"/>
        <v>431.2774400165354</v>
      </c>
      <c r="U302" s="4">
        <f t="shared" si="235"/>
        <v>442.4602216894088</v>
      </c>
      <c r="V302" s="4">
        <f t="shared" si="226"/>
        <v>0.09199210953358314</v>
      </c>
      <c r="W302" s="4">
        <f>SUMPRODUCT($J$4:J302,$S$56:S$354)</f>
        <v>11.900100696363689</v>
      </c>
      <c r="X302" s="6">
        <f t="shared" si="255"/>
        <v>2.4479511507166265</v>
      </c>
      <c r="Y302" s="4">
        <f t="shared" si="236"/>
        <v>2048</v>
      </c>
      <c r="Z302" s="4">
        <f t="shared" si="247"/>
        <v>298</v>
      </c>
      <c r="AA302" s="3">
        <f t="shared" si="210"/>
        <v>114.11</v>
      </c>
      <c r="AB302" s="6">
        <f t="shared" si="237"/>
        <v>220.4453745</v>
      </c>
      <c r="AC302" s="4">
        <f t="shared" si="221"/>
        <v>220.28575147320882</v>
      </c>
      <c r="AD302" s="4">
        <f t="shared" si="222"/>
        <v>8.566711481244726</v>
      </c>
      <c r="AE302" s="4">
        <f t="shared" si="252"/>
        <v>0.1596230267911949</v>
      </c>
      <c r="AF302" s="6">
        <f t="shared" si="211"/>
        <v>1887.1244763001603</v>
      </c>
      <c r="AG302" s="30">
        <f t="shared" si="250"/>
        <v>0.5831171342438338</v>
      </c>
      <c r="AH302" s="3">
        <f t="shared" si="212"/>
        <v>1.4553</v>
      </c>
      <c r="AI302" s="47">
        <f t="shared" si="238"/>
        <v>3.4303</v>
      </c>
      <c r="AJ302" s="4">
        <f t="shared" si="223"/>
        <v>2.896971866286004</v>
      </c>
      <c r="AK302" s="4">
        <f t="shared" si="201"/>
        <v>120</v>
      </c>
      <c r="AL302" s="4">
        <f t="shared" si="202"/>
        <v>0.5333281337139959</v>
      </c>
      <c r="AM302" s="4">
        <f t="shared" si="213"/>
        <v>347.6366239543205</v>
      </c>
      <c r="AN302" s="26">
        <f t="shared" si="239"/>
        <v>0.2583112271502243</v>
      </c>
      <c r="AO302" s="4">
        <f t="shared" si="240"/>
        <v>0.9778128794923686</v>
      </c>
      <c r="AP302" s="3">
        <f t="shared" si="214"/>
        <v>30</v>
      </c>
      <c r="AQ302" s="3">
        <f t="shared" si="215"/>
        <v>870</v>
      </c>
      <c r="AR302" s="21">
        <f t="shared" si="216"/>
        <v>138</v>
      </c>
      <c r="AS302" s="35">
        <f t="shared" si="227"/>
        <v>0.1167309068584042</v>
      </c>
      <c r="AT302" s="36">
        <f t="shared" si="217"/>
        <v>-0.02243695701559795</v>
      </c>
      <c r="AU302" s="4">
        <f t="shared" si="218"/>
        <v>34.350577453368714</v>
      </c>
      <c r="AV302" s="4">
        <f t="shared" si="204"/>
        <v>0.39272425304148606</v>
      </c>
      <c r="AW302" s="4">
        <f t="shared" si="254"/>
        <v>0.029155856712191692</v>
      </c>
      <c r="AX302" s="3">
        <f t="shared" si="219"/>
        <v>67.8</v>
      </c>
      <c r="AY302" s="36">
        <f t="shared" si="205"/>
        <v>-0.4</v>
      </c>
      <c r="AZ302" s="36">
        <f t="shared" si="228"/>
        <v>-0.8000000000000002</v>
      </c>
      <c r="BA302" s="36">
        <f t="shared" si="206"/>
        <v>-0.1</v>
      </c>
      <c r="BB302" s="6">
        <f t="shared" si="253"/>
        <v>2.411259621864362</v>
      </c>
      <c r="BC302" s="6">
        <f t="shared" si="248"/>
        <v>0.019452662754180672</v>
      </c>
      <c r="BD302" s="4">
        <f t="shared" si="241"/>
        <v>0.7231395167759331</v>
      </c>
      <c r="BE302" s="4">
        <f>SUMPRODUCT(BC$4:BC302,$BD$56:BD$354)</f>
        <v>1.583147410444548</v>
      </c>
      <c r="BF302" s="23">
        <f t="shared" si="242"/>
        <v>1.583147410444548</v>
      </c>
      <c r="BG302" s="4">
        <f t="shared" si="207"/>
        <v>0.880506072652776</v>
      </c>
    </row>
    <row r="303" spans="5:59" ht="15">
      <c r="E303" s="1">
        <f t="shared" si="243"/>
        <v>299</v>
      </c>
      <c r="F303" s="1">
        <f t="shared" si="229"/>
        <v>2049</v>
      </c>
      <c r="G303" s="3">
        <f t="shared" si="208"/>
        <v>3.13</v>
      </c>
      <c r="H303" s="3">
        <f t="shared" si="209"/>
        <v>0.43</v>
      </c>
      <c r="I303" s="5">
        <f t="shared" si="230"/>
        <v>0.8735236005250415</v>
      </c>
      <c r="J303" s="5">
        <f t="shared" si="251"/>
        <v>1.2349048811432901</v>
      </c>
      <c r="K303" s="4">
        <f t="shared" si="231"/>
        <v>1.4515715183316686</v>
      </c>
      <c r="L303" s="4">
        <f t="shared" si="232"/>
        <v>0.0028082330264527864</v>
      </c>
      <c r="M303" s="4">
        <f t="shared" si="225"/>
        <v>7.935672335522938</v>
      </c>
      <c r="N303" s="4">
        <f t="shared" si="233"/>
        <v>0.022285217139723233</v>
      </c>
      <c r="O303" s="4">
        <f>SUMPRODUCT($M$4:M303,L$55:$L$354)</f>
        <v>6.081181731608274</v>
      </c>
      <c r="P303" s="4">
        <f t="shared" si="234"/>
        <v>1.8544906039146634</v>
      </c>
      <c r="Q303" s="4">
        <f t="shared" si="244"/>
        <v>75.47688176478185</v>
      </c>
      <c r="R303" s="4">
        <f t="shared" si="245"/>
        <v>124.6909167920128</v>
      </c>
      <c r="S303" s="4">
        <f t="shared" si="249"/>
        <v>0.07525218089457139</v>
      </c>
      <c r="T303" s="5">
        <f t="shared" si="246"/>
        <v>432.7199460091509</v>
      </c>
      <c r="U303" s="4">
        <f t="shared" si="235"/>
        <v>443.9136407825939</v>
      </c>
      <c r="V303" s="4">
        <f t="shared" si="226"/>
        <v>0.09292928550338406</v>
      </c>
      <c r="W303" s="4">
        <f>SUMPRODUCT($J$4:J303,$S$55:S$354)</f>
        <v>11.980622458897866</v>
      </c>
      <c r="X303" s="6">
        <f t="shared" si="255"/>
        <v>2.4654963411758253</v>
      </c>
      <c r="Y303" s="4">
        <f t="shared" si="236"/>
        <v>2049</v>
      </c>
      <c r="Z303" s="4">
        <f t="shared" si="247"/>
        <v>299</v>
      </c>
      <c r="AA303" s="3">
        <f t="shared" si="210"/>
        <v>114.11</v>
      </c>
      <c r="AB303" s="6">
        <f t="shared" si="237"/>
        <v>220.4453745</v>
      </c>
      <c r="AC303" s="4">
        <f t="shared" si="221"/>
        <v>220.29917068728324</v>
      </c>
      <c r="AD303" s="4">
        <f t="shared" si="222"/>
        <v>8.566914225954891</v>
      </c>
      <c r="AE303" s="4">
        <f t="shared" si="252"/>
        <v>0.1462038127167773</v>
      </c>
      <c r="AF303" s="6">
        <f t="shared" si="211"/>
        <v>1887.2840993269515</v>
      </c>
      <c r="AG303" s="30">
        <f t="shared" si="250"/>
        <v>0.583183273390848</v>
      </c>
      <c r="AH303" s="3">
        <f t="shared" si="212"/>
        <v>1.4553</v>
      </c>
      <c r="AI303" s="47">
        <f t="shared" si="238"/>
        <v>3.4303</v>
      </c>
      <c r="AJ303" s="4">
        <f t="shared" si="223"/>
        <v>2.9014162674002875</v>
      </c>
      <c r="AK303" s="4">
        <f t="shared" si="201"/>
        <v>120</v>
      </c>
      <c r="AL303" s="4">
        <f t="shared" si="202"/>
        <v>0.5288837325997124</v>
      </c>
      <c r="AM303" s="4">
        <f t="shared" si="213"/>
        <v>348.1699520880345</v>
      </c>
      <c r="AN303" s="26">
        <f t="shared" si="239"/>
        <v>0.2600268290145007</v>
      </c>
      <c r="AO303" s="4">
        <f t="shared" si="240"/>
        <v>0.9777864142130656</v>
      </c>
      <c r="AP303" s="3">
        <f t="shared" si="214"/>
        <v>30</v>
      </c>
      <c r="AQ303" s="3">
        <f t="shared" si="215"/>
        <v>870</v>
      </c>
      <c r="AR303" s="21">
        <f t="shared" si="216"/>
        <v>138</v>
      </c>
      <c r="AS303" s="35">
        <f t="shared" si="227"/>
        <v>0.11672814430315337</v>
      </c>
      <c r="AT303" s="36">
        <f t="shared" si="217"/>
        <v>-0.02246402317315889</v>
      </c>
      <c r="AU303" s="4">
        <f t="shared" si="218"/>
        <v>34.351000362080605</v>
      </c>
      <c r="AV303" s="4">
        <f t="shared" si="204"/>
        <v>0.39274201520738544</v>
      </c>
      <c r="AW303" s="4">
        <f t="shared" si="254"/>
        <v>0.0291591636695424</v>
      </c>
      <c r="AX303" s="3">
        <f t="shared" si="219"/>
        <v>67.8</v>
      </c>
      <c r="AY303" s="36">
        <f t="shared" si="205"/>
        <v>-0.4</v>
      </c>
      <c r="AZ303" s="36">
        <f t="shared" si="228"/>
        <v>-0.8000000000000002</v>
      </c>
      <c r="BA303" s="36">
        <f t="shared" si="206"/>
        <v>-0.1</v>
      </c>
      <c r="BB303" s="6">
        <f t="shared" si="253"/>
        <v>2.4306076224581012</v>
      </c>
      <c r="BC303" s="6">
        <f t="shared" si="248"/>
        <v>0.0193480005937392</v>
      </c>
      <c r="BD303" s="4">
        <f t="shared" si="241"/>
        <v>0.7211735496258355</v>
      </c>
      <c r="BE303" s="4">
        <f>SUMPRODUCT(BC$4:BC303,$BD$55:BD$354)</f>
        <v>1.5997295564072203</v>
      </c>
      <c r="BF303" s="23">
        <f t="shared" si="242"/>
        <v>1.5997295564072203</v>
      </c>
      <c r="BG303" s="4">
        <f t="shared" si="207"/>
        <v>0.8970882186154483</v>
      </c>
    </row>
    <row r="304" spans="5:59" ht="15">
      <c r="E304" s="1">
        <f t="shared" si="243"/>
        <v>300</v>
      </c>
      <c r="F304" s="1">
        <f t="shared" si="229"/>
        <v>2050</v>
      </c>
      <c r="G304" s="3">
        <f t="shared" si="208"/>
        <v>3.13</v>
      </c>
      <c r="H304" s="3">
        <f t="shared" si="209"/>
        <v>0.43</v>
      </c>
      <c r="I304" s="5">
        <f t="shared" si="230"/>
        <v>0.8741161837461854</v>
      </c>
      <c r="J304" s="5">
        <f t="shared" si="251"/>
        <v>1.2360979029374777</v>
      </c>
      <c r="K304" s="4">
        <f t="shared" si="231"/>
        <v>1.449785913316337</v>
      </c>
      <c r="L304" s="4">
        <f t="shared" si="232"/>
        <v>0.0028796355748577874</v>
      </c>
      <c r="M304" s="4">
        <f t="shared" si="225"/>
        <v>7.991888861214395</v>
      </c>
      <c r="N304" s="4">
        <f t="shared" si="233"/>
        <v>0.023013727475062664</v>
      </c>
      <c r="O304" s="4">
        <f>SUMPRODUCT($M$4:M304,L$54:$L$354)</f>
        <v>6.1361402031212435</v>
      </c>
      <c r="P304" s="4">
        <f t="shared" si="234"/>
        <v>1.8557486580931517</v>
      </c>
      <c r="Q304" s="4">
        <f t="shared" si="244"/>
        <v>75.987594380192</v>
      </c>
      <c r="R304" s="4">
        <f t="shared" si="245"/>
        <v>125.75374747264277</v>
      </c>
      <c r="S304" s="4">
        <f t="shared" si="249"/>
        <v>0.07595897621702179</v>
      </c>
      <c r="T304" s="5">
        <f t="shared" si="246"/>
        <v>434.1608130731415</v>
      </c>
      <c r="U304" s="4">
        <f t="shared" si="235"/>
        <v>445.3652123009256</v>
      </c>
      <c r="V304" s="4">
        <f t="shared" si="226"/>
        <v>0.09389273121113838</v>
      </c>
      <c r="W304" s="4">
        <f>SUMPRODUCT($J$4:J304,$S$54:S$354)</f>
        <v>12.060744780042537</v>
      </c>
      <c r="X304" s="6">
        <f t="shared" si="255"/>
        <v>2.4829619864980845</v>
      </c>
      <c r="Y304" s="4">
        <f t="shared" si="236"/>
        <v>2050</v>
      </c>
      <c r="Z304" s="4">
        <f t="shared" si="247"/>
        <v>300</v>
      </c>
      <c r="AA304" s="3">
        <f t="shared" si="210"/>
        <v>114.11</v>
      </c>
      <c r="AB304" s="6">
        <f t="shared" si="237"/>
        <v>220.4453745</v>
      </c>
      <c r="AC304" s="4">
        <f t="shared" si="221"/>
        <v>220.3114615096377</v>
      </c>
      <c r="AD304" s="4">
        <f t="shared" si="222"/>
        <v>8.567099914849873</v>
      </c>
      <c r="AE304" s="4">
        <f t="shared" si="252"/>
        <v>0.13391299036231885</v>
      </c>
      <c r="AF304" s="6">
        <f t="shared" si="211"/>
        <v>1887.4303031396682</v>
      </c>
      <c r="AG304" s="30">
        <f t="shared" si="250"/>
        <v>0.5832438498874013</v>
      </c>
      <c r="AH304" s="3">
        <f t="shared" si="212"/>
        <v>1.4553</v>
      </c>
      <c r="AI304" s="47">
        <f t="shared" si="238"/>
        <v>3.4303</v>
      </c>
      <c r="AJ304" s="4">
        <f t="shared" si="223"/>
        <v>2.905823631838618</v>
      </c>
      <c r="AK304" s="4">
        <f t="shared" si="201"/>
        <v>120</v>
      </c>
      <c r="AL304" s="4">
        <f t="shared" si="202"/>
        <v>0.5244763681613818</v>
      </c>
      <c r="AM304" s="4">
        <f t="shared" si="213"/>
        <v>348.6988358206342</v>
      </c>
      <c r="AN304" s="26">
        <f t="shared" si="239"/>
        <v>0.2617268370807035</v>
      </c>
      <c r="AO304" s="4">
        <f t="shared" si="240"/>
        <v>0.977762176413472</v>
      </c>
      <c r="AP304" s="3">
        <f t="shared" si="214"/>
        <v>30</v>
      </c>
      <c r="AQ304" s="3">
        <f t="shared" si="215"/>
        <v>870</v>
      </c>
      <c r="AR304" s="21">
        <f t="shared" si="216"/>
        <v>138</v>
      </c>
      <c r="AS304" s="35">
        <f t="shared" si="227"/>
        <v>0.11672561426144214</v>
      </c>
      <c r="AT304" s="36">
        <f t="shared" si="217"/>
        <v>-0.022488811920123277</v>
      </c>
      <c r="AU304" s="4">
        <f t="shared" si="218"/>
        <v>34.351387686251925</v>
      </c>
      <c r="AV304" s="4">
        <f t="shared" si="204"/>
        <v>0.3927582828225809</v>
      </c>
      <c r="AW304" s="4">
        <f t="shared" si="254"/>
        <v>0.02916219249437007</v>
      </c>
      <c r="AX304" s="3">
        <f t="shared" si="219"/>
        <v>67.8</v>
      </c>
      <c r="AY304" s="36">
        <f t="shared" si="205"/>
        <v>-0.4</v>
      </c>
      <c r="AZ304" s="36">
        <f t="shared" si="228"/>
        <v>-0.8000000000000002</v>
      </c>
      <c r="BA304" s="36">
        <f t="shared" si="206"/>
        <v>-0.1</v>
      </c>
      <c r="BB304" s="6">
        <f t="shared" si="253"/>
        <v>2.44985314878314</v>
      </c>
      <c r="BC304" s="6">
        <f t="shared" si="248"/>
        <v>0.019245526325038842</v>
      </c>
      <c r="BD304" s="4">
        <f t="shared" si="241"/>
        <v>0.7191070325067821</v>
      </c>
      <c r="BE304" s="4">
        <f>SUMPRODUCT(BC$4:BC304,$BD$54:BD$354)</f>
        <v>1.6162251035753048</v>
      </c>
      <c r="BF304" s="23">
        <f t="shared" si="242"/>
        <v>1.6162251035753048</v>
      </c>
      <c r="BG304" s="4">
        <f t="shared" si="207"/>
        <v>0.9135837657835328</v>
      </c>
    </row>
    <row r="305" spans="5:59" ht="15">
      <c r="E305" s="1">
        <f t="shared" si="243"/>
        <v>301</v>
      </c>
      <c r="F305" s="1">
        <f t="shared" si="229"/>
        <v>2051</v>
      </c>
      <c r="G305" s="3">
        <f t="shared" si="208"/>
        <v>3.13</v>
      </c>
      <c r="H305" s="3">
        <f t="shared" si="209"/>
        <v>0.43</v>
      </c>
      <c r="I305" s="5">
        <f t="shared" si="230"/>
        <v>0.874670557457182</v>
      </c>
      <c r="J305" s="5">
        <f t="shared" si="251"/>
        <v>1.2372685394107759</v>
      </c>
      <c r="K305" s="4">
        <f t="shared" si="231"/>
        <v>1.448060903132042</v>
      </c>
      <c r="L305" s="4">
        <f t="shared" si="232"/>
        <v>0.002953971436368654</v>
      </c>
      <c r="M305" s="4">
        <f t="shared" si="225"/>
        <v>8.047853643009756</v>
      </c>
      <c r="N305" s="4">
        <f t="shared" si="233"/>
        <v>0.02377312978552623</v>
      </c>
      <c r="O305" s="4">
        <f>SUMPRODUCT($M$4:M305,L$53:$L$354)</f>
        <v>6.190928049528158</v>
      </c>
      <c r="P305" s="4">
        <f t="shared" si="234"/>
        <v>1.8569255934815976</v>
      </c>
      <c r="Q305" s="4">
        <f t="shared" si="244"/>
        <v>76.49577352203775</v>
      </c>
      <c r="R305" s="4">
        <f t="shared" si="245"/>
        <v>126.81489528576637</v>
      </c>
      <c r="S305" s="4">
        <f t="shared" si="249"/>
        <v>0.07668810531678708</v>
      </c>
      <c r="T305" s="5">
        <f t="shared" si="246"/>
        <v>435.60009150790273</v>
      </c>
      <c r="U305" s="4">
        <f t="shared" si="235"/>
        <v>446.81499821424194</v>
      </c>
      <c r="V305" s="4">
        <f t="shared" si="226"/>
        <v>0.0948837800554809</v>
      </c>
      <c r="W305" s="4">
        <f>SUMPRODUCT($J$4:J305,$S$53:S$354)</f>
        <v>12.140473441674626</v>
      </c>
      <c r="X305" s="6">
        <f t="shared" si="255"/>
        <v>2.5003494187051216</v>
      </c>
      <c r="Y305" s="4">
        <f t="shared" si="236"/>
        <v>2051</v>
      </c>
      <c r="Z305" s="4">
        <f t="shared" si="247"/>
        <v>301</v>
      </c>
      <c r="AA305" s="3">
        <f t="shared" si="210"/>
        <v>114.11</v>
      </c>
      <c r="AB305" s="6">
        <f t="shared" si="237"/>
        <v>220.4453745</v>
      </c>
      <c r="AC305" s="4">
        <f t="shared" si="221"/>
        <v>220.32271886660223</v>
      </c>
      <c r="AD305" s="4">
        <f t="shared" si="222"/>
        <v>8.567269983958782</v>
      </c>
      <c r="AE305" s="4">
        <f t="shared" si="252"/>
        <v>0.12265563339778396</v>
      </c>
      <c r="AF305" s="6">
        <f t="shared" si="211"/>
        <v>1887.5642161300307</v>
      </c>
      <c r="AG305" s="30">
        <f t="shared" si="250"/>
        <v>0.5832993318797997</v>
      </c>
      <c r="AH305" s="3">
        <f t="shared" si="212"/>
        <v>1.4553</v>
      </c>
      <c r="AI305" s="47">
        <f t="shared" si="238"/>
        <v>3.4303</v>
      </c>
      <c r="AJ305" s="4">
        <f t="shared" si="223"/>
        <v>2.9101942682399633</v>
      </c>
      <c r="AK305" s="4">
        <f t="shared" si="201"/>
        <v>120</v>
      </c>
      <c r="AL305" s="4">
        <f t="shared" si="202"/>
        <v>0.5201057317600366</v>
      </c>
      <c r="AM305" s="4">
        <f t="shared" si="213"/>
        <v>349.2233121887956</v>
      </c>
      <c r="AN305" s="26">
        <f t="shared" si="239"/>
        <v>0.26341140572676053</v>
      </c>
      <c r="AO305" s="4">
        <f t="shared" si="240"/>
        <v>0.9777399783719145</v>
      </c>
      <c r="AP305" s="3">
        <f t="shared" si="214"/>
        <v>30</v>
      </c>
      <c r="AQ305" s="3">
        <f t="shared" si="215"/>
        <v>870</v>
      </c>
      <c r="AR305" s="21">
        <f t="shared" si="216"/>
        <v>138</v>
      </c>
      <c r="AS305" s="35">
        <f t="shared" si="227"/>
        <v>0.11672329713810628</v>
      </c>
      <c r="AT305" s="36">
        <f t="shared" si="217"/>
        <v>-0.022511515082586264</v>
      </c>
      <c r="AU305" s="4">
        <f t="shared" si="218"/>
        <v>34.35174242316541</v>
      </c>
      <c r="AV305" s="4">
        <f t="shared" si="204"/>
        <v>0.39277318177294734</v>
      </c>
      <c r="AW305" s="4">
        <f t="shared" si="254"/>
        <v>0.029164966593989986</v>
      </c>
      <c r="AX305" s="3">
        <f t="shared" si="219"/>
        <v>67.8</v>
      </c>
      <c r="AY305" s="36">
        <f t="shared" si="205"/>
        <v>-0.4</v>
      </c>
      <c r="AZ305" s="36">
        <f t="shared" si="228"/>
        <v>-0.8000000000000002</v>
      </c>
      <c r="BA305" s="36">
        <f t="shared" si="206"/>
        <v>-0.1</v>
      </c>
      <c r="BB305" s="6">
        <f t="shared" si="253"/>
        <v>2.468998304678619</v>
      </c>
      <c r="BC305" s="6">
        <f t="shared" si="248"/>
        <v>0.019145155895478716</v>
      </c>
      <c r="BD305" s="4">
        <f t="shared" si="241"/>
        <v>0.7169328275139021</v>
      </c>
      <c r="BE305" s="4">
        <f>SUMPRODUCT(BC$4:BC305,$BD$53:BD$354)</f>
        <v>1.632635530953301</v>
      </c>
      <c r="BF305" s="23">
        <f t="shared" si="242"/>
        <v>1.632635530953301</v>
      </c>
      <c r="BG305" s="4">
        <f t="shared" si="207"/>
        <v>0.929994193161529</v>
      </c>
    </row>
    <row r="306" spans="5:59" ht="15">
      <c r="E306" s="1">
        <f t="shared" si="243"/>
        <v>302</v>
      </c>
      <c r="F306" s="1">
        <f t="shared" si="229"/>
        <v>2052</v>
      </c>
      <c r="G306" s="3">
        <f>G305+($B$21/100)*G305</f>
        <v>3.13</v>
      </c>
      <c r="H306" s="3">
        <f t="shared" si="209"/>
        <v>0.43</v>
      </c>
      <c r="I306" s="5">
        <f t="shared" si="230"/>
        <v>0.8751878477885006</v>
      </c>
      <c r="J306" s="5">
        <f t="shared" si="251"/>
        <v>1.2384179016184762</v>
      </c>
      <c r="K306" s="4">
        <f t="shared" si="231"/>
        <v>1.4463942505930232</v>
      </c>
      <c r="L306" s="4">
        <f t="shared" si="232"/>
        <v>0.0030313844672174516</v>
      </c>
      <c r="M306" s="4">
        <f t="shared" si="225"/>
        <v>8.103570862982453</v>
      </c>
      <c r="N306" s="4">
        <f t="shared" si="233"/>
        <v>0.024565038843040926</v>
      </c>
      <c r="O306" s="4">
        <f>SUMPRODUCT($M$4:M306,L$52:$L$354)</f>
        <v>6.245547062127466</v>
      </c>
      <c r="P306" s="4">
        <f t="shared" si="234"/>
        <v>1.858023800854987</v>
      </c>
      <c r="Q306" s="4">
        <f t="shared" si="244"/>
        <v>77.0014558621131</v>
      </c>
      <c r="R306" s="4">
        <f t="shared" si="245"/>
        <v>127.8743999622877</v>
      </c>
      <c r="S306" s="4">
        <f t="shared" si="249"/>
        <v>0.07744067534575776</v>
      </c>
      <c r="T306" s="5">
        <f t="shared" si="246"/>
        <v>437.0378334463864</v>
      </c>
      <c r="U306" s="4">
        <f t="shared" si="235"/>
        <v>448.263059117374</v>
      </c>
      <c r="V306" s="4">
        <f t="shared" si="226"/>
        <v>0.09590391866161098</v>
      </c>
      <c r="W306" s="4">
        <f>SUMPRODUCT($J$4:J306,$S$52:S$354)</f>
        <v>12.219814892164358</v>
      </c>
      <c r="X306" s="6">
        <f t="shared" si="255"/>
        <v>2.517659937105466</v>
      </c>
      <c r="Y306" s="4">
        <f t="shared" si="236"/>
        <v>2052</v>
      </c>
      <c r="Z306" s="4">
        <f t="shared" si="247"/>
        <v>302</v>
      </c>
      <c r="AA306" s="3">
        <f t="shared" si="210"/>
        <v>114.11</v>
      </c>
      <c r="AB306" s="6">
        <f t="shared" si="237"/>
        <v>220.4453745</v>
      </c>
      <c r="AC306" s="4">
        <f t="shared" si="221"/>
        <v>220.33302969196575</v>
      </c>
      <c r="AD306" s="4">
        <f t="shared" si="222"/>
        <v>8.567425748207107</v>
      </c>
      <c r="AE306" s="4">
        <f t="shared" si="252"/>
        <v>0.1123448080342655</v>
      </c>
      <c r="AF306" s="6">
        <f t="shared" si="211"/>
        <v>1887.6868717634284</v>
      </c>
      <c r="AG306" s="30">
        <f t="shared" si="250"/>
        <v>0.5833501480676464</v>
      </c>
      <c r="AH306" s="3">
        <f t="shared" si="212"/>
        <v>1.4553</v>
      </c>
      <c r="AI306" s="47">
        <f t="shared" si="238"/>
        <v>3.4303</v>
      </c>
      <c r="AJ306" s="4">
        <f t="shared" si="223"/>
        <v>2.914528482671297</v>
      </c>
      <c r="AK306" s="4">
        <f t="shared" si="201"/>
        <v>120</v>
      </c>
      <c r="AL306" s="4">
        <f t="shared" si="202"/>
        <v>0.515771517328703</v>
      </c>
      <c r="AM306" s="4">
        <f t="shared" si="213"/>
        <v>349.74341792055566</v>
      </c>
      <c r="AN306" s="26">
        <f t="shared" si="239"/>
        <v>0.2650806875560643</v>
      </c>
      <c r="AO306" s="4">
        <f t="shared" si="240"/>
        <v>0.9777196482262516</v>
      </c>
      <c r="AP306" s="3">
        <f t="shared" si="214"/>
        <v>30</v>
      </c>
      <c r="AQ306" s="3">
        <f t="shared" si="215"/>
        <v>870</v>
      </c>
      <c r="AR306" s="21">
        <f t="shared" si="216"/>
        <v>138</v>
      </c>
      <c r="AS306" s="35">
        <f t="shared" si="227"/>
        <v>0.11672117499346506</v>
      </c>
      <c r="AT306" s="36">
        <f t="shared" si="217"/>
        <v>-0.022532308297017453</v>
      </c>
      <c r="AU306" s="4">
        <f t="shared" si="218"/>
        <v>34.3520673171409</v>
      </c>
      <c r="AV306" s="4">
        <f t="shared" si="204"/>
        <v>0.3927868273199178</v>
      </c>
      <c r="AW306" s="4">
        <f t="shared" si="254"/>
        <v>0.02916750740338232</v>
      </c>
      <c r="AX306" s="3">
        <f t="shared" si="219"/>
        <v>67.8</v>
      </c>
      <c r="AY306" s="36">
        <f t="shared" si="205"/>
        <v>-0.4</v>
      </c>
      <c r="AZ306" s="36">
        <f t="shared" si="228"/>
        <v>-0.8000000000000002</v>
      </c>
      <c r="BA306" s="36">
        <f t="shared" si="206"/>
        <v>-0.1</v>
      </c>
      <c r="BB306" s="6">
        <f t="shared" si="253"/>
        <v>2.4880451074524768</v>
      </c>
      <c r="BC306" s="6">
        <f t="shared" si="248"/>
        <v>0.01904680277385795</v>
      </c>
      <c r="BD306" s="4">
        <f t="shared" si="241"/>
        <v>0.7146432836490438</v>
      </c>
      <c r="BE306" s="4">
        <f>SUMPRODUCT(BC$4:BC306,$BD$52:BD$354)</f>
        <v>1.648962314142996</v>
      </c>
      <c r="BF306" s="23">
        <f t="shared" si="242"/>
        <v>1.648962314142996</v>
      </c>
      <c r="BG306" s="4">
        <f t="shared" si="207"/>
        <v>0.9463209763512241</v>
      </c>
    </row>
    <row r="307" spans="5:59" ht="15">
      <c r="E307" s="1">
        <f t="shared" si="243"/>
        <v>303</v>
      </c>
      <c r="F307" s="1">
        <f t="shared" si="229"/>
        <v>2053</v>
      </c>
      <c r="G307" s="3">
        <f t="shared" si="208"/>
        <v>3.13</v>
      </c>
      <c r="H307" s="3">
        <f t="shared" si="209"/>
        <v>0.43</v>
      </c>
      <c r="I307" s="5">
        <f t="shared" si="230"/>
        <v>0.8756691241231336</v>
      </c>
      <c r="J307" s="5">
        <f t="shared" si="251"/>
        <v>1.2395461957686384</v>
      </c>
      <c r="K307" s="4">
        <f t="shared" si="231"/>
        <v>1.4447846801082278</v>
      </c>
      <c r="L307" s="4">
        <f t="shared" si="232"/>
        <v>0.003112026156626906</v>
      </c>
      <c r="M307" s="4">
        <f t="shared" si="225"/>
        <v>8.159044566662578</v>
      </c>
      <c r="N307" s="4">
        <f t="shared" si="233"/>
        <v>0.025391160104538582</v>
      </c>
      <c r="O307" s="4">
        <f>SUMPRODUCT($M$4:M307,L$51:$L$354)</f>
        <v>6.299999016149165</v>
      </c>
      <c r="P307" s="4">
        <f t="shared" si="234"/>
        <v>1.8590455505134127</v>
      </c>
      <c r="Q307" s="4">
        <f t="shared" si="244"/>
        <v>77.50468229947339</v>
      </c>
      <c r="R307" s="4">
        <f t="shared" si="245"/>
        <v>128.9323110462041</v>
      </c>
      <c r="S307" s="4">
        <f t="shared" si="249"/>
        <v>0.07821786426821008</v>
      </c>
      <c r="T307" s="5">
        <f t="shared" si="246"/>
        <v>438.47410197162685</v>
      </c>
      <c r="U307" s="4">
        <f t="shared" si="235"/>
        <v>449.709453367967</v>
      </c>
      <c r="V307" s="4">
        <f t="shared" si="226"/>
        <v>0.09695465609480752</v>
      </c>
      <c r="W307" s="4">
        <f>SUMPRODUCT($J$4:J307,$S$51:S$354)</f>
        <v>12.29877481982178</v>
      </c>
      <c r="X307" s="6">
        <f t="shared" si="255"/>
        <v>2.5348947985856443</v>
      </c>
      <c r="Y307" s="4">
        <f t="shared" si="236"/>
        <v>2053</v>
      </c>
      <c r="Z307" s="4">
        <f t="shared" si="247"/>
        <v>303</v>
      </c>
      <c r="AA307" s="3">
        <f t="shared" si="210"/>
        <v>114.11</v>
      </c>
      <c r="AB307" s="6">
        <f t="shared" si="237"/>
        <v>220.4453745</v>
      </c>
      <c r="AC307" s="4">
        <f t="shared" si="221"/>
        <v>220.34247360102782</v>
      </c>
      <c r="AD307" s="4">
        <f t="shared" si="222"/>
        <v>8.567568411661222</v>
      </c>
      <c r="AE307" s="4">
        <f t="shared" si="252"/>
        <v>0.10290089897219445</v>
      </c>
      <c r="AF307" s="6">
        <f t="shared" si="211"/>
        <v>1887.7992165714627</v>
      </c>
      <c r="AG307" s="30">
        <f t="shared" si="250"/>
        <v>0.5833966910354246</v>
      </c>
      <c r="AH307" s="3">
        <f t="shared" si="212"/>
        <v>1.4553</v>
      </c>
      <c r="AI307" s="47">
        <f t="shared" si="238"/>
        <v>3.4303</v>
      </c>
      <c r="AJ307" s="4">
        <f t="shared" si="223"/>
        <v>2.9188265786490364</v>
      </c>
      <c r="AK307" s="4">
        <f t="shared" si="201"/>
        <v>120</v>
      </c>
      <c r="AL307" s="4">
        <f t="shared" si="202"/>
        <v>0.5114734213509635</v>
      </c>
      <c r="AM307" s="4">
        <f t="shared" si="213"/>
        <v>350.25918943788434</v>
      </c>
      <c r="AN307" s="26">
        <f t="shared" si="239"/>
        <v>0.2667348334228133</v>
      </c>
      <c r="AO307" s="4">
        <f t="shared" si="240"/>
        <v>0.9777010286276738</v>
      </c>
      <c r="AP307" s="3">
        <f t="shared" si="214"/>
        <v>30</v>
      </c>
      <c r="AQ307" s="3">
        <f t="shared" si="215"/>
        <v>870</v>
      </c>
      <c r="AR307" s="21">
        <f t="shared" si="216"/>
        <v>138</v>
      </c>
      <c r="AS307" s="35">
        <f t="shared" si="227"/>
        <v>0.11671923140279933</v>
      </c>
      <c r="AT307" s="36">
        <f t="shared" si="217"/>
        <v>-0.022551352381800466</v>
      </c>
      <c r="AU307" s="4">
        <f t="shared" si="218"/>
        <v>34.35236488096563</v>
      </c>
      <c r="AV307" s="4">
        <f t="shared" si="204"/>
        <v>0.39279932500055653</v>
      </c>
      <c r="AW307" s="4">
        <f t="shared" si="254"/>
        <v>0.02916983455177123</v>
      </c>
      <c r="AX307" s="3">
        <f t="shared" si="219"/>
        <v>67.8</v>
      </c>
      <c r="AY307" s="36">
        <f t="shared" si="205"/>
        <v>-0.4</v>
      </c>
      <c r="AZ307" s="36">
        <f t="shared" si="228"/>
        <v>-0.8000000000000002</v>
      </c>
      <c r="BA307" s="36">
        <f t="shared" si="206"/>
        <v>-0.1</v>
      </c>
      <c r="BB307" s="6">
        <f t="shared" si="253"/>
        <v>2.5069954825962095</v>
      </c>
      <c r="BC307" s="6">
        <f t="shared" si="248"/>
        <v>0.018950375143732767</v>
      </c>
      <c r="BD307" s="4">
        <f t="shared" si="241"/>
        <v>0.7122301999234316</v>
      </c>
      <c r="BE307" s="4">
        <f>SUMPRODUCT(BC$4:BC307,$BD$51:BD$354)</f>
        <v>1.6652069214959575</v>
      </c>
      <c r="BF307" s="23">
        <f t="shared" si="242"/>
        <v>1.6652069214959575</v>
      </c>
      <c r="BG307" s="4">
        <f t="shared" si="207"/>
        <v>0.9625655837041855</v>
      </c>
    </row>
    <row r="308" spans="5:59" ht="15">
      <c r="E308" s="1">
        <f t="shared" si="243"/>
        <v>304</v>
      </c>
      <c r="F308" s="1">
        <f t="shared" si="229"/>
        <v>2054</v>
      </c>
      <c r="G308" s="3">
        <f t="shared" si="208"/>
        <v>3.13</v>
      </c>
      <c r="H308" s="3">
        <f t="shared" si="209"/>
        <v>0.43</v>
      </c>
      <c r="I308" s="5">
        <f t="shared" si="230"/>
        <v>0.8761154183812099</v>
      </c>
      <c r="J308" s="5">
        <f t="shared" si="251"/>
        <v>1.2406533508495718</v>
      </c>
      <c r="K308" s="4">
        <f t="shared" si="231"/>
        <v>1.4432312307692186</v>
      </c>
      <c r="L308" s="4">
        <f t="shared" si="232"/>
        <v>0.0031960561552777365</v>
      </c>
      <c r="M308" s="4">
        <f t="shared" si="225"/>
        <v>8.214278701991065</v>
      </c>
      <c r="N308" s="4">
        <f t="shared" si="233"/>
        <v>0.026253296006665358</v>
      </c>
      <c r="O308" s="4">
        <f>SUMPRODUCT($M$4:M308,L$50:$L$354)</f>
        <v>6.354285668767756</v>
      </c>
      <c r="P308" s="4">
        <f t="shared" si="234"/>
        <v>1.8599930332233088</v>
      </c>
      <c r="Q308" s="4">
        <f t="shared" si="244"/>
        <v>78.00548891246079</v>
      </c>
      <c r="R308" s="4">
        <f t="shared" si="245"/>
        <v>129.9886689274631</v>
      </c>
      <c r="S308" s="4">
        <f t="shared" si="249"/>
        <v>0.0790209272706695</v>
      </c>
      <c r="T308" s="5">
        <f t="shared" si="246"/>
        <v>439.90895072702114</v>
      </c>
      <c r="U308" s="4">
        <f t="shared" si="235"/>
        <v>451.15423804807523</v>
      </c>
      <c r="V308" s="4">
        <f t="shared" si="226"/>
        <v>0.09803757820559643</v>
      </c>
      <c r="W308" s="4">
        <f>SUMPRODUCT($J$4:J308,$S$50:S$354)</f>
        <v>12.377358331920647</v>
      </c>
      <c r="X308" s="6">
        <f t="shared" si="255"/>
        <v>2.5520552297126713</v>
      </c>
      <c r="Y308" s="4">
        <f t="shared" si="236"/>
        <v>2054</v>
      </c>
      <c r="Z308" s="4">
        <f t="shared" si="247"/>
        <v>304</v>
      </c>
      <c r="AA308" s="3">
        <f t="shared" si="210"/>
        <v>114.11</v>
      </c>
      <c r="AB308" s="6">
        <f t="shared" si="237"/>
        <v>220.4453745</v>
      </c>
      <c r="AC308" s="4">
        <f t="shared" si="221"/>
        <v>220.35112350762645</v>
      </c>
      <c r="AD308" s="4">
        <f t="shared" si="222"/>
        <v>8.567699076901206</v>
      </c>
      <c r="AE308" s="4">
        <f t="shared" si="252"/>
        <v>0.09425099237355994</v>
      </c>
      <c r="AF308" s="6">
        <f t="shared" si="211"/>
        <v>1887.9021174704349</v>
      </c>
      <c r="AG308" s="30">
        <f t="shared" si="250"/>
        <v>0.5834393203014497</v>
      </c>
      <c r="AH308" s="3">
        <f t="shared" si="212"/>
        <v>1.4553</v>
      </c>
      <c r="AI308" s="47">
        <f t="shared" si="238"/>
        <v>3.4303</v>
      </c>
      <c r="AJ308" s="4">
        <f t="shared" si="223"/>
        <v>2.923088857160294</v>
      </c>
      <c r="AK308" s="4">
        <f t="shared" si="201"/>
        <v>120</v>
      </c>
      <c r="AL308" s="4">
        <f t="shared" si="202"/>
        <v>0.5072111428397057</v>
      </c>
      <c r="AM308" s="4">
        <f t="shared" si="213"/>
        <v>350.7706628592353</v>
      </c>
      <c r="AN308" s="26">
        <f t="shared" si="239"/>
        <v>0.26837399245689053</v>
      </c>
      <c r="AO308" s="4">
        <f t="shared" si="240"/>
        <v>0.9776839755097915</v>
      </c>
      <c r="AP308" s="3">
        <f t="shared" si="214"/>
        <v>30</v>
      </c>
      <c r="AQ308" s="3">
        <f t="shared" si="215"/>
        <v>870</v>
      </c>
      <c r="AR308" s="21">
        <f t="shared" si="216"/>
        <v>138</v>
      </c>
      <c r="AS308" s="35">
        <f t="shared" si="227"/>
        <v>0.11671745132786379</v>
      </c>
      <c r="AT308" s="36">
        <f t="shared" si="217"/>
        <v>-0.022568794591745572</v>
      </c>
      <c r="AU308" s="4">
        <f t="shared" si="218"/>
        <v>34.35263741549603</v>
      </c>
      <c r="AV308" s="4">
        <f t="shared" si="204"/>
        <v>0.39281077145083315</v>
      </c>
      <c r="AW308" s="4">
        <f t="shared" si="254"/>
        <v>0.02917196601507249</v>
      </c>
      <c r="AX308" s="3">
        <f t="shared" si="219"/>
        <v>67.8</v>
      </c>
      <c r="AY308" s="36">
        <f t="shared" si="205"/>
        <v>-0.4</v>
      </c>
      <c r="AZ308" s="36">
        <f t="shared" si="228"/>
        <v>-0.8000000000000002</v>
      </c>
      <c r="BA308" s="36">
        <f t="shared" si="206"/>
        <v>-0.1</v>
      </c>
      <c r="BB308" s="6">
        <f t="shared" si="253"/>
        <v>2.5258512799369166</v>
      </c>
      <c r="BC308" s="6">
        <f t="shared" si="248"/>
        <v>0.01885579734070708</v>
      </c>
      <c r="BD308" s="4">
        <f t="shared" si="241"/>
        <v>0.7096847858069406</v>
      </c>
      <c r="BE308" s="4">
        <f>SUMPRODUCT(BC$4:BC308,$BD$50:BD$354)</f>
        <v>1.6813708102650102</v>
      </c>
      <c r="BF308" s="23">
        <f t="shared" si="242"/>
        <v>1.6813708102650102</v>
      </c>
      <c r="BG308" s="4">
        <f t="shared" si="207"/>
        <v>0.9787294724732383</v>
      </c>
    </row>
    <row r="309" spans="5:59" ht="15">
      <c r="E309" s="1">
        <f t="shared" si="243"/>
        <v>305</v>
      </c>
      <c r="F309" s="1">
        <f t="shared" si="229"/>
        <v>2055</v>
      </c>
      <c r="G309" s="3">
        <f t="shared" si="208"/>
        <v>3.13</v>
      </c>
      <c r="H309" s="3">
        <f t="shared" si="209"/>
        <v>0.43</v>
      </c>
      <c r="I309" s="5">
        <f t="shared" si="230"/>
        <v>0.876527731798197</v>
      </c>
      <c r="J309" s="5">
        <f t="shared" si="251"/>
        <v>1.2417400877901983</v>
      </c>
      <c r="K309" s="4">
        <f t="shared" si="231"/>
        <v>1.4417321804116048</v>
      </c>
      <c r="L309" s="4">
        <f t="shared" si="232"/>
        <v>0.0032836428881361053</v>
      </c>
      <c r="M309" s="4">
        <f t="shared" si="225"/>
        <v>8.269277132906536</v>
      </c>
      <c r="N309" s="4">
        <f t="shared" si="233"/>
        <v>0.027153353047495072</v>
      </c>
      <c r="O309" s="4">
        <f>SUMPRODUCT($M$4:M309,L$49:$L$354)</f>
        <v>6.408408758298964</v>
      </c>
      <c r="P309" s="4">
        <f t="shared" si="234"/>
        <v>1.8608683746075725</v>
      </c>
      <c r="Q309" s="4">
        <f t="shared" si="244"/>
        <v>78.50390809417074</v>
      </c>
      <c r="R309" s="4">
        <f t="shared" si="245"/>
        <v>131.0435070796528</v>
      </c>
      <c r="S309" s="4">
        <f t="shared" si="249"/>
        <v>0.07985120405647743</v>
      </c>
      <c r="T309" s="5">
        <f t="shared" si="246"/>
        <v>441.34242620914017</v>
      </c>
      <c r="U309" s="4">
        <f t="shared" si="235"/>
        <v>452.59746927884447</v>
      </c>
      <c r="V309" s="4">
        <f t="shared" si="226"/>
        <v>0.09915444113524333</v>
      </c>
      <c r="W309" s="4">
        <f>SUMPRODUCT($J$4:J309,$S$49:S$354)</f>
        <v>12.455570962902865</v>
      </c>
      <c r="X309" s="6">
        <f t="shared" si="255"/>
        <v>2.569142430955283</v>
      </c>
      <c r="Y309" s="4">
        <f t="shared" si="236"/>
        <v>2055</v>
      </c>
      <c r="Z309" s="4">
        <f t="shared" si="247"/>
        <v>305</v>
      </c>
      <c r="AA309" s="3">
        <f t="shared" si="210"/>
        <v>114.11</v>
      </c>
      <c r="AB309" s="6">
        <f t="shared" si="237"/>
        <v>220.4453745</v>
      </c>
      <c r="AC309" s="4">
        <f t="shared" si="221"/>
        <v>220.35904618899497</v>
      </c>
      <c r="AD309" s="4">
        <f t="shared" si="222"/>
        <v>8.567818753596955</v>
      </c>
      <c r="AE309" s="4">
        <f t="shared" si="252"/>
        <v>0.08632831100504745</v>
      </c>
      <c r="AF309" s="6">
        <f t="shared" si="211"/>
        <v>1887.9963684628085</v>
      </c>
      <c r="AG309" s="30">
        <f t="shared" si="250"/>
        <v>0.5834783651083778</v>
      </c>
      <c r="AH309" s="3">
        <f t="shared" si="212"/>
        <v>1.4553</v>
      </c>
      <c r="AI309" s="47">
        <f t="shared" si="238"/>
        <v>3.4303</v>
      </c>
      <c r="AJ309" s="4">
        <f t="shared" si="223"/>
        <v>2.9273156166839582</v>
      </c>
      <c r="AK309" s="4">
        <f t="shared" si="201"/>
        <v>120</v>
      </c>
      <c r="AL309" s="4">
        <f t="shared" si="202"/>
        <v>0.5029843833160417</v>
      </c>
      <c r="AM309" s="4">
        <f t="shared" si="213"/>
        <v>351.277874002075</v>
      </c>
      <c r="AN309" s="26">
        <f t="shared" si="239"/>
        <v>0.26999831208828834</v>
      </c>
      <c r="AO309" s="4">
        <f t="shared" si="240"/>
        <v>0.977668356962969</v>
      </c>
      <c r="AP309" s="3">
        <f t="shared" si="214"/>
        <v>30</v>
      </c>
      <c r="AQ309" s="3">
        <f t="shared" si="215"/>
        <v>870</v>
      </c>
      <c r="AR309" s="21">
        <f t="shared" si="216"/>
        <v>138</v>
      </c>
      <c r="AS309" s="35">
        <f t="shared" si="227"/>
        <v>0.11671582099938546</v>
      </c>
      <c r="AT309" s="36">
        <f t="shared" si="217"/>
        <v>-0.022584769765695952</v>
      </c>
      <c r="AU309" s="4">
        <f t="shared" si="218"/>
        <v>34.352887027589</v>
      </c>
      <c r="AV309" s="4">
        <f t="shared" si="204"/>
        <v>0.39282125515873795</v>
      </c>
      <c r="AW309" s="4">
        <f t="shared" si="254"/>
        <v>0.029173918255418894</v>
      </c>
      <c r="AX309" s="3">
        <f t="shared" si="219"/>
        <v>67.8</v>
      </c>
      <c r="AY309" s="36">
        <f t="shared" si="205"/>
        <v>-0.4</v>
      </c>
      <c r="AZ309" s="36">
        <f t="shared" si="228"/>
        <v>-0.8000000000000002</v>
      </c>
      <c r="BA309" s="36">
        <f t="shared" si="206"/>
        <v>-0.1</v>
      </c>
      <c r="BB309" s="6">
        <f t="shared" si="253"/>
        <v>2.5446142815661057</v>
      </c>
      <c r="BC309" s="6">
        <f t="shared" si="248"/>
        <v>0.01876300162918909</v>
      </c>
      <c r="BD309" s="4">
        <f t="shared" si="241"/>
        <v>0.7069976188331835</v>
      </c>
      <c r="BE309" s="4">
        <f>SUMPRODUCT(BC$4:BC309,$BD$49:BD$354)</f>
        <v>1.6974554237897481</v>
      </c>
      <c r="BF309" s="23">
        <f t="shared" si="242"/>
        <v>1.6974554237897481</v>
      </c>
      <c r="BG309" s="4">
        <f t="shared" si="207"/>
        <v>0.9948140859979762</v>
      </c>
    </row>
    <row r="310" spans="5:59" ht="15">
      <c r="E310" s="1">
        <f t="shared" si="243"/>
        <v>306</v>
      </c>
      <c r="F310" s="1">
        <f t="shared" si="229"/>
        <v>2056</v>
      </c>
      <c r="G310" s="3">
        <f t="shared" si="208"/>
        <v>3.13</v>
      </c>
      <c r="H310" s="3">
        <f t="shared" si="209"/>
        <v>0.43</v>
      </c>
      <c r="I310" s="5">
        <f t="shared" si="230"/>
        <v>0.8769070218117868</v>
      </c>
      <c r="J310" s="5">
        <f t="shared" si="251"/>
        <v>1.242806974050171</v>
      </c>
      <c r="K310" s="4">
        <f t="shared" si="231"/>
        <v>1.4402860041380423</v>
      </c>
      <c r="L310" s="4">
        <f t="shared" si="232"/>
        <v>0.003374964279677514</v>
      </c>
      <c r="M310" s="4">
        <f t="shared" si="225"/>
        <v>8.32404361186029</v>
      </c>
      <c r="N310" s="4">
        <f t="shared" si="233"/>
        <v>0.028093349852506277</v>
      </c>
      <c r="O310" s="4">
        <f>SUMPRODUCT($M$4:M310,L$48:$L$354)</f>
        <v>6.462370004553867</v>
      </c>
      <c r="P310" s="4">
        <f t="shared" si="234"/>
        <v>1.8616736073064235</v>
      </c>
      <c r="Q310" s="4">
        <f t="shared" si="244"/>
        <v>78.99997494703032</v>
      </c>
      <c r="R310" s="4">
        <f t="shared" si="245"/>
        <v>132.09686553175808</v>
      </c>
      <c r="S310" s="4">
        <f t="shared" si="249"/>
        <v>0.08071012718530562</v>
      </c>
      <c r="T310" s="5">
        <f t="shared" si="246"/>
        <v>442.77458215917125</v>
      </c>
      <c r="U310" s="4">
        <f t="shared" si="235"/>
        <v>454.03920145925605</v>
      </c>
      <c r="V310" s="4">
        <f t="shared" si="226"/>
        <v>0.10030710894237413</v>
      </c>
      <c r="W310" s="4">
        <f>SUMPRODUCT($J$4:J310,$S$48:S$354)</f>
        <v>12.53341811346938</v>
      </c>
      <c r="X310" s="6">
        <f t="shared" si="255"/>
        <v>2.5861575681447477</v>
      </c>
      <c r="Y310" s="4">
        <f t="shared" si="236"/>
        <v>2056</v>
      </c>
      <c r="Z310" s="4">
        <f t="shared" si="247"/>
        <v>306</v>
      </c>
      <c r="AA310" s="3">
        <f t="shared" si="210"/>
        <v>114.11</v>
      </c>
      <c r="AB310" s="6">
        <f t="shared" si="237"/>
        <v>220.4453745</v>
      </c>
      <c r="AC310" s="4">
        <f t="shared" si="221"/>
        <v>220.36630280288296</v>
      </c>
      <c r="AD310" s="4">
        <f t="shared" si="222"/>
        <v>8.567928366355986</v>
      </c>
      <c r="AE310" s="4">
        <f t="shared" si="252"/>
        <v>0.07907169711705819</v>
      </c>
      <c r="AF310" s="6">
        <f t="shared" si="211"/>
        <v>1888.0826967738135</v>
      </c>
      <c r="AG310" s="30">
        <f t="shared" si="250"/>
        <v>0.5835141269773381</v>
      </c>
      <c r="AH310" s="3">
        <f t="shared" si="212"/>
        <v>1.4553</v>
      </c>
      <c r="AI310" s="47">
        <f t="shared" si="238"/>
        <v>3.4303</v>
      </c>
      <c r="AJ310" s="4">
        <f t="shared" si="223"/>
        <v>2.931507153211592</v>
      </c>
      <c r="AK310" s="4">
        <f t="shared" si="201"/>
        <v>120</v>
      </c>
      <c r="AL310" s="4">
        <f t="shared" si="202"/>
        <v>0.49879284678840774</v>
      </c>
      <c r="AM310" s="4">
        <f t="shared" si="213"/>
        <v>351.78085838539107</v>
      </c>
      <c r="AN310" s="26">
        <f t="shared" si="239"/>
        <v>0.2716079380710924</v>
      </c>
      <c r="AO310" s="4">
        <f t="shared" si="240"/>
        <v>0.9776540522047761</v>
      </c>
      <c r="AP310" s="3">
        <f t="shared" si="214"/>
        <v>30</v>
      </c>
      <c r="AQ310" s="3">
        <f t="shared" si="215"/>
        <v>870</v>
      </c>
      <c r="AR310" s="21">
        <f t="shared" si="216"/>
        <v>138</v>
      </c>
      <c r="AS310" s="35">
        <f t="shared" si="227"/>
        <v>0.11671432780959497</v>
      </c>
      <c r="AT310" s="36">
        <f t="shared" si="217"/>
        <v>-0.022599401376448353</v>
      </c>
      <c r="AU310" s="4">
        <f t="shared" si="218"/>
        <v>34.35311564650701</v>
      </c>
      <c r="AV310" s="4">
        <f t="shared" si="204"/>
        <v>0.3928308571532943</v>
      </c>
      <c r="AW310" s="4">
        <f t="shared" si="254"/>
        <v>0.029175706348866907</v>
      </c>
      <c r="AX310" s="3">
        <f t="shared" si="219"/>
        <v>67.8</v>
      </c>
      <c r="AY310" s="36">
        <f t="shared" si="205"/>
        <v>-0.4</v>
      </c>
      <c r="AZ310" s="36">
        <f t="shared" si="228"/>
        <v>-0.8000000000000002</v>
      </c>
      <c r="BA310" s="36">
        <f t="shared" si="206"/>
        <v>-0.1</v>
      </c>
      <c r="BB310" s="6">
        <f t="shared" si="253"/>
        <v>2.5632861966953393</v>
      </c>
      <c r="BC310" s="6">
        <f t="shared" si="248"/>
        <v>0.018671915129233607</v>
      </c>
      <c r="BD310" s="4">
        <f t="shared" si="241"/>
        <v>0.7041585991558722</v>
      </c>
      <c r="BE310" s="4">
        <f>SUMPRODUCT(BC$4:BC310,$BD$48:BD$354)</f>
        <v>1.7134621892503061</v>
      </c>
      <c r="BF310" s="23">
        <f t="shared" si="242"/>
        <v>1.7134621892503061</v>
      </c>
      <c r="BG310" s="4">
        <f t="shared" si="207"/>
        <v>1.0108208514585342</v>
      </c>
    </row>
    <row r="311" spans="5:59" ht="15">
      <c r="E311" s="1">
        <f t="shared" si="243"/>
        <v>307</v>
      </c>
      <c r="F311" s="1">
        <f t="shared" si="229"/>
        <v>2057</v>
      </c>
      <c r="G311" s="3">
        <f t="shared" si="208"/>
        <v>3.13</v>
      </c>
      <c r="H311" s="3">
        <f t="shared" si="209"/>
        <v>0.43</v>
      </c>
      <c r="I311" s="5">
        <f t="shared" si="230"/>
        <v>0.8772542068538305</v>
      </c>
      <c r="J311" s="5">
        <f t="shared" si="251"/>
        <v>1.243854044354348</v>
      </c>
      <c r="K311" s="4">
        <f t="shared" si="231"/>
        <v>1.4388917487918218</v>
      </c>
      <c r="L311" s="4">
        <f t="shared" si="232"/>
        <v>0.0034702086307489867</v>
      </c>
      <c r="M311" s="4">
        <f t="shared" si="225"/>
        <v>8.378581789085354</v>
      </c>
      <c r="N311" s="4">
        <f t="shared" si="233"/>
        <v>0.029075426837920283</v>
      </c>
      <c r="O311" s="4">
        <f>SUMPRODUCT($M$4:M311,L$47:$L$354)</f>
        <v>6.516171107934672</v>
      </c>
      <c r="P311" s="4">
        <f t="shared" si="234"/>
        <v>1.8624106811506822</v>
      </c>
      <c r="Q311" s="4">
        <f t="shared" si="244"/>
        <v>79.49372372520911</v>
      </c>
      <c r="R311" s="4">
        <f t="shared" si="245"/>
        <v>133.14878337261405</v>
      </c>
      <c r="S311" s="4">
        <f t="shared" si="249"/>
        <v>0.081599231650072</v>
      </c>
      <c r="T311" s="5">
        <f t="shared" si="246"/>
        <v>444.2054714797781</v>
      </c>
      <c r="U311" s="4">
        <f t="shared" si="235"/>
        <v>455.4794874633941</v>
      </c>
      <c r="V311" s="4">
        <f t="shared" si="226"/>
        <v>0.10149753430414937</v>
      </c>
      <c r="W311" s="4">
        <f>SUMPRODUCT($J$4:J311,$S$47:S$354)</f>
        <v>12.61090456636522</v>
      </c>
      <c r="X311" s="6">
        <f t="shared" si="255"/>
        <v>2.603101775354625</v>
      </c>
      <c r="Y311" s="4">
        <f t="shared" si="236"/>
        <v>2057</v>
      </c>
      <c r="Z311" s="4">
        <f t="shared" si="247"/>
        <v>307</v>
      </c>
      <c r="AA311" s="3">
        <f t="shared" si="210"/>
        <v>114.11</v>
      </c>
      <c r="AB311" s="6">
        <f t="shared" si="237"/>
        <v>220.4453745</v>
      </c>
      <c r="AC311" s="4">
        <f t="shared" si="221"/>
        <v>220.37294936099613</v>
      </c>
      <c r="AD311" s="4">
        <f t="shared" si="222"/>
        <v>8.56802876190537</v>
      </c>
      <c r="AE311" s="4">
        <f t="shared" si="252"/>
        <v>0.07242513900388303</v>
      </c>
      <c r="AF311" s="6">
        <f t="shared" si="211"/>
        <v>1888.1617684709306</v>
      </c>
      <c r="AG311" s="30">
        <f t="shared" si="250"/>
        <v>0.5835468820458573</v>
      </c>
      <c r="AH311" s="3">
        <f t="shared" si="212"/>
        <v>1.4553</v>
      </c>
      <c r="AI311" s="47">
        <f t="shared" si="238"/>
        <v>3.4303</v>
      </c>
      <c r="AJ311" s="4">
        <f t="shared" si="223"/>
        <v>2.9356637602681626</v>
      </c>
      <c r="AK311" s="4">
        <f t="shared" si="201"/>
        <v>120</v>
      </c>
      <c r="AL311" s="4">
        <f t="shared" si="202"/>
        <v>0.49463623973183735</v>
      </c>
      <c r="AM311" s="4">
        <f t="shared" si="213"/>
        <v>352.2796512321795</v>
      </c>
      <c r="AN311" s="26">
        <f t="shared" si="239"/>
        <v>0.27320301450703083</v>
      </c>
      <c r="AO311" s="4">
        <f t="shared" si="240"/>
        <v>0.9776409506382281</v>
      </c>
      <c r="AP311" s="3">
        <f t="shared" si="214"/>
        <v>30</v>
      </c>
      <c r="AQ311" s="3">
        <f t="shared" si="215"/>
        <v>870</v>
      </c>
      <c r="AR311" s="21">
        <f t="shared" si="216"/>
        <v>138</v>
      </c>
      <c r="AS311" s="35">
        <f t="shared" si="227"/>
        <v>0.1167129602139219</v>
      </c>
      <c r="AT311" s="36">
        <f t="shared" si="217"/>
        <v>-0.022612802491399502</v>
      </c>
      <c r="AU311" s="4">
        <f t="shared" si="218"/>
        <v>34.35332503892812</v>
      </c>
      <c r="AV311" s="4">
        <f t="shared" si="204"/>
        <v>0.392839651634981</v>
      </c>
      <c r="AW311" s="4">
        <f t="shared" si="254"/>
        <v>0.029177344102292866</v>
      </c>
      <c r="AX311" s="3">
        <f t="shared" si="219"/>
        <v>67.8</v>
      </c>
      <c r="AY311" s="36">
        <f t="shared" si="205"/>
        <v>-0.4</v>
      </c>
      <c r="AZ311" s="36">
        <f t="shared" si="228"/>
        <v>-0.8000000000000002</v>
      </c>
      <c r="BA311" s="36">
        <f t="shared" si="206"/>
        <v>-0.1</v>
      </c>
      <c r="BB311" s="6">
        <f t="shared" si="253"/>
        <v>2.5818686676447866</v>
      </c>
      <c r="BC311" s="6">
        <f t="shared" si="248"/>
        <v>0.018582470949447316</v>
      </c>
      <c r="BD311" s="4">
        <f t="shared" si="241"/>
        <v>0.7011569008372154</v>
      </c>
      <c r="BE311" s="4">
        <f>SUMPRODUCT(BC$4:BC311,$BD$47:BD$354)</f>
        <v>1.7293925153203122</v>
      </c>
      <c r="BF311" s="23">
        <f t="shared" si="242"/>
        <v>1.7293925153203122</v>
      </c>
      <c r="BG311" s="4">
        <f t="shared" si="207"/>
        <v>1.0267511775285403</v>
      </c>
    </row>
    <row r="312" spans="5:59" ht="15">
      <c r="E312" s="1">
        <f t="shared" si="243"/>
        <v>308</v>
      </c>
      <c r="F312" s="1">
        <f t="shared" si="229"/>
        <v>2058</v>
      </c>
      <c r="G312" s="3">
        <f t="shared" si="208"/>
        <v>3.13</v>
      </c>
      <c r="H312" s="3">
        <f t="shared" si="209"/>
        <v>0.43</v>
      </c>
      <c r="I312" s="5">
        <f t="shared" si="230"/>
        <v>0.877570177781844</v>
      </c>
      <c r="J312" s="5">
        <f t="shared" si="251"/>
        <v>1.2448816843709984</v>
      </c>
      <c r="K312" s="4">
        <f t="shared" si="231"/>
        <v>1.4375481378471577</v>
      </c>
      <c r="L312" s="4">
        <f t="shared" si="232"/>
        <v>0.003569575702086838</v>
      </c>
      <c r="M312" s="4">
        <f t="shared" si="225"/>
        <v>8.432895235796485</v>
      </c>
      <c r="N312" s="4">
        <f t="shared" si="233"/>
        <v>0.03010185793194299</v>
      </c>
      <c r="O312" s="4">
        <f>SUMPRODUCT($M$4:M312,L$46:$L$354)</f>
        <v>6.56981374836563</v>
      </c>
      <c r="P312" s="4">
        <f t="shared" si="234"/>
        <v>1.863081487430855</v>
      </c>
      <c r="Q312" s="4">
        <f t="shared" si="244"/>
        <v>79.9851847634656</v>
      </c>
      <c r="R312" s="4">
        <f t="shared" si="245"/>
        <v>134.19929214633294</v>
      </c>
      <c r="S312" s="4">
        <f t="shared" si="249"/>
        <v>0.0825201659225967</v>
      </c>
      <c r="T312" s="5">
        <f t="shared" si="246"/>
        <v>445.6351390749994</v>
      </c>
      <c r="U312" s="4">
        <f t="shared" si="235"/>
        <v>456.9183792121859</v>
      </c>
      <c r="V312" s="4">
        <f t="shared" si="226"/>
        <v>0.10272784314829644</v>
      </c>
      <c r="W312" s="4">
        <f>SUMPRODUCT($J$4:J312,$S$46:S$354)</f>
        <v>12.68803514836959</v>
      </c>
      <c r="X312" s="6">
        <f t="shared" si="255"/>
        <v>2.619976162108664</v>
      </c>
      <c r="Y312" s="4">
        <f t="shared" si="236"/>
        <v>2058</v>
      </c>
      <c r="Z312" s="4">
        <f t="shared" si="247"/>
        <v>308</v>
      </c>
      <c r="AA312" s="3">
        <f t="shared" si="210"/>
        <v>114.11</v>
      </c>
      <c r="AB312" s="6">
        <f t="shared" si="237"/>
        <v>220.4453745</v>
      </c>
      <c r="AC312" s="4">
        <f t="shared" si="221"/>
        <v>220.37903716246055</v>
      </c>
      <c r="AD312" s="4">
        <f t="shared" si="222"/>
        <v>8.56812071566477</v>
      </c>
      <c r="AE312" s="4">
        <f t="shared" si="252"/>
        <v>0.06633733753946558</v>
      </c>
      <c r="AF312" s="6">
        <f t="shared" si="211"/>
        <v>1888.2341936099344</v>
      </c>
      <c r="AG312" s="30">
        <f t="shared" si="250"/>
        <v>0.5835768832079953</v>
      </c>
      <c r="AH312" s="3">
        <f t="shared" si="212"/>
        <v>1.4553</v>
      </c>
      <c r="AI312" s="47">
        <f t="shared" si="238"/>
        <v>3.4303</v>
      </c>
      <c r="AJ312" s="4">
        <f t="shared" si="223"/>
        <v>2.9397857289325944</v>
      </c>
      <c r="AK312" s="4">
        <f t="shared" si="201"/>
        <v>120</v>
      </c>
      <c r="AL312" s="4">
        <f t="shared" si="202"/>
        <v>0.4905142710674055</v>
      </c>
      <c r="AM312" s="4">
        <f t="shared" si="213"/>
        <v>352.77428747191135</v>
      </c>
      <c r="AN312" s="26">
        <f t="shared" si="239"/>
        <v>0.27478368386860397</v>
      </c>
      <c r="AO312" s="4">
        <f t="shared" si="240"/>
        <v>0.9776289509902375</v>
      </c>
      <c r="AP312" s="3">
        <f t="shared" si="214"/>
        <v>30</v>
      </c>
      <c r="AQ312" s="3">
        <f t="shared" si="215"/>
        <v>870</v>
      </c>
      <c r="AR312" s="21">
        <f t="shared" si="216"/>
        <v>138</v>
      </c>
      <c r="AS312" s="35">
        <f t="shared" si="227"/>
        <v>0.11671170764106276</v>
      </c>
      <c r="AT312" s="36">
        <f t="shared" si="217"/>
        <v>-0.02262507665158647</v>
      </c>
      <c r="AU312" s="4">
        <f t="shared" si="218"/>
        <v>34.35351682268104</v>
      </c>
      <c r="AV312" s="4">
        <f t="shared" si="204"/>
        <v>0.3928477065526036</v>
      </c>
      <c r="AW312" s="4">
        <f t="shared" si="254"/>
        <v>0.029178844160399765</v>
      </c>
      <c r="AX312" s="3">
        <f t="shared" si="219"/>
        <v>67.8</v>
      </c>
      <c r="AY312" s="36">
        <f t="shared" si="205"/>
        <v>-0.4</v>
      </c>
      <c r="AZ312" s="36">
        <f t="shared" si="228"/>
        <v>-0.8000000000000002</v>
      </c>
      <c r="BA312" s="36">
        <f t="shared" si="206"/>
        <v>-0.1</v>
      </c>
      <c r="BB312" s="6">
        <f t="shared" si="253"/>
        <v>2.6003632798982665</v>
      </c>
      <c r="BC312" s="6">
        <f t="shared" si="248"/>
        <v>0.018494612253479925</v>
      </c>
      <c r="BD312" s="4">
        <f t="shared" si="241"/>
        <v>0.6979809196333425</v>
      </c>
      <c r="BE312" s="4">
        <f>SUMPRODUCT(BC$4:BC312,$BD$46:BD$354)</f>
        <v>1.745247790263175</v>
      </c>
      <c r="BF312" s="23">
        <f t="shared" si="242"/>
        <v>1.745247790263175</v>
      </c>
      <c r="BG312" s="4">
        <f t="shared" si="207"/>
        <v>1.042606452471403</v>
      </c>
    </row>
    <row r="313" spans="5:59" ht="15">
      <c r="E313" s="1">
        <f t="shared" si="243"/>
        <v>309</v>
      </c>
      <c r="F313" s="1">
        <f t="shared" si="229"/>
        <v>2059</v>
      </c>
      <c r="G313" s="3">
        <f t="shared" si="208"/>
        <v>3.13</v>
      </c>
      <c r="H313" s="3">
        <f t="shared" si="209"/>
        <v>0.43</v>
      </c>
      <c r="I313" s="5">
        <f t="shared" si="230"/>
        <v>0.8778557927233738</v>
      </c>
      <c r="J313" s="5">
        <f t="shared" si="251"/>
        <v>1.2458905157284423</v>
      </c>
      <c r="K313" s="4">
        <f t="shared" si="231"/>
        <v>1.4362536915481838</v>
      </c>
      <c r="L313" s="4">
        <f t="shared" si="232"/>
        <v>0.003673278081704561</v>
      </c>
      <c r="M313" s="4">
        <f t="shared" si="225"/>
        <v>8.486987433319197</v>
      </c>
      <c r="N313" s="4">
        <f t="shared" si="233"/>
        <v>0.031175064918513455</v>
      </c>
      <c r="O313" s="4">
        <f>SUMPRODUCT($M$4:M313,L$45:$L$354)</f>
        <v>6.623299585367474</v>
      </c>
      <c r="P313" s="4">
        <f t="shared" si="234"/>
        <v>1.8636878479517227</v>
      </c>
      <c r="Q313" s="4">
        <f t="shared" si="244"/>
        <v>80.47438867584691</v>
      </c>
      <c r="R313" s="4">
        <f t="shared" si="245"/>
        <v>135.24842473424332</v>
      </c>
      <c r="S313" s="4">
        <f t="shared" si="249"/>
        <v>0.08347470474629778</v>
      </c>
      <c r="T313" s="5">
        <f t="shared" si="246"/>
        <v>447.0636313422202</v>
      </c>
      <c r="U313" s="4">
        <f t="shared" si="235"/>
        <v>458.3559273500331</v>
      </c>
      <c r="V313" s="4">
        <f t="shared" si="226"/>
        <v>0.1040003429466444</v>
      </c>
      <c r="W313" s="4">
        <f>SUMPRODUCT($J$4:J313,$S$45:S$354)</f>
        <v>12.764814813728593</v>
      </c>
      <c r="X313" s="6">
        <f t="shared" si="255"/>
        <v>2.636781810003351</v>
      </c>
      <c r="Y313" s="4">
        <f t="shared" si="236"/>
        <v>2059</v>
      </c>
      <c r="Z313" s="4">
        <f t="shared" si="247"/>
        <v>309</v>
      </c>
      <c r="AA313" s="3">
        <f t="shared" si="210"/>
        <v>114.11</v>
      </c>
      <c r="AB313" s="6">
        <f t="shared" si="237"/>
        <v>220.4453745</v>
      </c>
      <c r="AC313" s="4">
        <f t="shared" si="221"/>
        <v>220.384613190702</v>
      </c>
      <c r="AD313" s="4">
        <f t="shared" si="222"/>
        <v>8.568204937762602</v>
      </c>
      <c r="AE313" s="4">
        <f t="shared" si="252"/>
        <v>0.06076130929801593</v>
      </c>
      <c r="AF313" s="6">
        <f t="shared" si="211"/>
        <v>1888.3005309474738</v>
      </c>
      <c r="AG313" s="30">
        <f t="shared" si="250"/>
        <v>0.5836043620735263</v>
      </c>
      <c r="AH313" s="3">
        <f t="shared" si="212"/>
        <v>1.4553</v>
      </c>
      <c r="AI313" s="47">
        <f t="shared" si="238"/>
        <v>3.4303</v>
      </c>
      <c r="AJ313" s="4">
        <f t="shared" si="223"/>
        <v>2.9438733478581565</v>
      </c>
      <c r="AK313" s="4">
        <f t="shared" si="201"/>
        <v>120</v>
      </c>
      <c r="AL313" s="4">
        <f t="shared" si="202"/>
        <v>0.48642665214184344</v>
      </c>
      <c r="AM313" s="4">
        <f t="shared" si="213"/>
        <v>353.26480174297876</v>
      </c>
      <c r="AN313" s="26">
        <f t="shared" si="239"/>
        <v>0.27635008702180114</v>
      </c>
      <c r="AO313" s="4">
        <f t="shared" si="240"/>
        <v>0.9776179605233623</v>
      </c>
      <c r="AP313" s="3">
        <f t="shared" si="214"/>
        <v>30</v>
      </c>
      <c r="AQ313" s="3">
        <f t="shared" si="215"/>
        <v>870</v>
      </c>
      <c r="AR313" s="21">
        <f t="shared" si="216"/>
        <v>138</v>
      </c>
      <c r="AS313" s="35">
        <f t="shared" si="227"/>
        <v>0.11671056041069999</v>
      </c>
      <c r="AT313" s="36">
        <f t="shared" si="217"/>
        <v>-0.022636318676121193</v>
      </c>
      <c r="AU313" s="4">
        <f t="shared" si="218"/>
        <v>34.3536924793144</v>
      </c>
      <c r="AV313" s="4">
        <f t="shared" si="204"/>
        <v>0.3928550841312047</v>
      </c>
      <c r="AW313" s="4">
        <f t="shared" si="254"/>
        <v>0.02918021810367632</v>
      </c>
      <c r="AX313" s="3">
        <f t="shared" si="219"/>
        <v>67.8</v>
      </c>
      <c r="AY313" s="36">
        <f t="shared" si="205"/>
        <v>-0.4</v>
      </c>
      <c r="AZ313" s="36">
        <f t="shared" si="228"/>
        <v>-0.8000000000000002</v>
      </c>
      <c r="BA313" s="36">
        <f t="shared" si="206"/>
        <v>-0.1</v>
      </c>
      <c r="BB313" s="6">
        <f t="shared" si="253"/>
        <v>2.618771561333559</v>
      </c>
      <c r="BC313" s="6">
        <f t="shared" si="248"/>
        <v>0.018408281435292384</v>
      </c>
      <c r="BD313" s="4">
        <f t="shared" si="241"/>
        <v>0.6946182170248499</v>
      </c>
      <c r="BE313" s="4">
        <f>SUMPRODUCT(BC$4:BC313,$BD$45:BD$354)</f>
        <v>1.7610293806386088</v>
      </c>
      <c r="BF313" s="23">
        <f t="shared" si="242"/>
        <v>1.7610293806386088</v>
      </c>
      <c r="BG313" s="4">
        <f t="shared" si="207"/>
        <v>1.0583880428468369</v>
      </c>
    </row>
    <row r="314" spans="5:59" ht="15">
      <c r="E314" s="1">
        <f t="shared" si="243"/>
        <v>310</v>
      </c>
      <c r="F314" s="1">
        <f t="shared" si="229"/>
        <v>2060</v>
      </c>
      <c r="G314" s="3">
        <f t="shared" si="208"/>
        <v>3.13</v>
      </c>
      <c r="H314" s="3">
        <f t="shared" si="209"/>
        <v>0.43</v>
      </c>
      <c r="I314" s="5">
        <f t="shared" si="230"/>
        <v>0.8781118742609532</v>
      </c>
      <c r="J314" s="5">
        <f t="shared" si="251"/>
        <v>1.2468807761739182</v>
      </c>
      <c r="K314" s="4">
        <f t="shared" si="231"/>
        <v>1.4350073495651288</v>
      </c>
      <c r="L314" s="4">
        <f t="shared" si="232"/>
        <v>0.0037815429445755546</v>
      </c>
      <c r="M314" s="4">
        <f t="shared" si="225"/>
        <v>8.540861766917185</v>
      </c>
      <c r="N314" s="4">
        <f t="shared" si="233"/>
        <v>0.032297635555280785</v>
      </c>
      <c r="O314" s="4">
        <f>SUMPRODUCT($M$4:M314,L$44:$L$354)</f>
        <v>6.676630257861182</v>
      </c>
      <c r="P314" s="4">
        <f t="shared" si="234"/>
        <v>1.8642315090560038</v>
      </c>
      <c r="Q314" s="4">
        <f t="shared" si="244"/>
        <v>80.96136688486423</v>
      </c>
      <c r="R314" s="4">
        <f t="shared" si="245"/>
        <v>136.29621650609184</v>
      </c>
      <c r="S314" s="4">
        <f t="shared" si="249"/>
        <v>0.08446476401094644</v>
      </c>
      <c r="T314" s="5">
        <f t="shared" si="246"/>
        <v>448.49099738512274</v>
      </c>
      <c r="U314" s="4">
        <f t="shared" si="235"/>
        <v>459.7921810415813</v>
      </c>
      <c r="V314" s="4">
        <f t="shared" si="226"/>
        <v>0.10531749050931573</v>
      </c>
      <c r="W314" s="4">
        <f>SUMPRODUCT($J$4:J314,$S$44:S$354)</f>
        <v>12.841248118997372</v>
      </c>
      <c r="X314" s="6">
        <f t="shared" si="255"/>
        <v>2.653519770790182</v>
      </c>
      <c r="Y314" s="4">
        <f t="shared" si="236"/>
        <v>2060</v>
      </c>
      <c r="Z314" s="4">
        <f t="shared" si="247"/>
        <v>310</v>
      </c>
      <c r="AA314" s="3">
        <f t="shared" si="210"/>
        <v>114.11</v>
      </c>
      <c r="AB314" s="6">
        <f t="shared" si="237"/>
        <v>220.4453745</v>
      </c>
      <c r="AC314" s="4">
        <f t="shared" si="221"/>
        <v>220.38972047683936</v>
      </c>
      <c r="AD314" s="4">
        <f t="shared" si="222"/>
        <v>8.568282078542854</v>
      </c>
      <c r="AE314" s="4">
        <f t="shared" si="252"/>
        <v>0.05565402316065615</v>
      </c>
      <c r="AF314" s="6">
        <f t="shared" si="211"/>
        <v>1888.3612922567718</v>
      </c>
      <c r="AG314" s="30">
        <f t="shared" si="250"/>
        <v>0.583629530761544</v>
      </c>
      <c r="AH314" s="3">
        <f t="shared" si="212"/>
        <v>1.4553</v>
      </c>
      <c r="AI314" s="47">
        <f t="shared" si="238"/>
        <v>3.4303</v>
      </c>
      <c r="AJ314" s="4">
        <f t="shared" si="223"/>
        <v>2.947926903292672</v>
      </c>
      <c r="AK314" s="4">
        <f t="shared" si="201"/>
        <v>120</v>
      </c>
      <c r="AL314" s="4">
        <f t="shared" si="202"/>
        <v>0.48237309670732786</v>
      </c>
      <c r="AM314" s="4">
        <f t="shared" si="213"/>
        <v>353.7512283951206</v>
      </c>
      <c r="AN314" s="26">
        <f t="shared" si="239"/>
        <v>0.27790236324841044</v>
      </c>
      <c r="AO314" s="4">
        <f t="shared" si="240"/>
        <v>0.9776078943145475</v>
      </c>
      <c r="AP314" s="3">
        <f t="shared" si="214"/>
        <v>30</v>
      </c>
      <c r="AQ314" s="3">
        <f t="shared" si="215"/>
        <v>870</v>
      </c>
      <c r="AR314" s="21">
        <f t="shared" si="216"/>
        <v>138</v>
      </c>
      <c r="AS314" s="35">
        <f t="shared" si="227"/>
        <v>0.11670950965821411</v>
      </c>
      <c r="AT314" s="36">
        <f t="shared" si="217"/>
        <v>-0.022646615398405175</v>
      </c>
      <c r="AU314" s="4">
        <f t="shared" si="218"/>
        <v>34.35385336560008</v>
      </c>
      <c r="AV314" s="4">
        <f t="shared" si="204"/>
        <v>0.3928618413552034</v>
      </c>
      <c r="AW314" s="4">
        <f t="shared" si="254"/>
        <v>0.029181476538077202</v>
      </c>
      <c r="AX314" s="3">
        <f t="shared" si="219"/>
        <v>67.8</v>
      </c>
      <c r="AY314" s="36">
        <f t="shared" si="205"/>
        <v>-0.4</v>
      </c>
      <c r="AZ314" s="36">
        <f t="shared" si="228"/>
        <v>-0.8000000000000002</v>
      </c>
      <c r="BA314" s="36">
        <f t="shared" si="206"/>
        <v>-0.1</v>
      </c>
      <c r="BB314" s="6">
        <f t="shared" si="253"/>
        <v>2.6370949826934167</v>
      </c>
      <c r="BC314" s="6">
        <f t="shared" si="248"/>
        <v>0.01832342135985776</v>
      </c>
      <c r="BD314" s="4">
        <f t="shared" si="241"/>
        <v>0.6910554602224414</v>
      </c>
      <c r="BE314" s="4">
        <f>SUMPRODUCT(BC$4:BC314,$BD$44:BD$354)</f>
        <v>1.7767386300561507</v>
      </c>
      <c r="BF314" s="23">
        <f t="shared" si="242"/>
        <v>1.7767386300561507</v>
      </c>
      <c r="BG314" s="4">
        <f t="shared" si="207"/>
        <v>1.0740972922643788</v>
      </c>
    </row>
    <row r="315" spans="5:59" ht="15">
      <c r="E315" s="1">
        <f t="shared" si="243"/>
        <v>311</v>
      </c>
      <c r="F315" s="1">
        <f t="shared" si="229"/>
        <v>2061</v>
      </c>
      <c r="G315" s="3">
        <f t="shared" si="208"/>
        <v>3.13</v>
      </c>
      <c r="H315" s="3">
        <f t="shared" si="209"/>
        <v>0.43</v>
      </c>
      <c r="I315" s="5">
        <f t="shared" si="230"/>
        <v>0.8783392179093901</v>
      </c>
      <c r="J315" s="5">
        <f t="shared" si="251"/>
        <v>1.2478526925491826</v>
      </c>
      <c r="K315" s="4">
        <f t="shared" si="231"/>
        <v>1.4338080895414274</v>
      </c>
      <c r="L315" s="4">
        <f t="shared" si="232"/>
        <v>0.0038946143568784055</v>
      </c>
      <c r="M315" s="4">
        <f t="shared" si="225"/>
        <v>8.594521542976977</v>
      </c>
      <c r="N315" s="4">
        <f t="shared" si="233"/>
        <v>0.03347234699177888</v>
      </c>
      <c r="O315" s="4">
        <f>SUMPRODUCT($M$4:M315,L$43:$L$354)</f>
        <v>6.729807383355342</v>
      </c>
      <c r="P315" s="4">
        <f t="shared" si="234"/>
        <v>1.8647141596216352</v>
      </c>
      <c r="Q315" s="4">
        <f t="shared" si="244"/>
        <v>81.44614829065736</v>
      </c>
      <c r="R315" s="4">
        <f t="shared" si="245"/>
        <v>137.34269814754094</v>
      </c>
      <c r="S315" s="4">
        <f t="shared" si="249"/>
        <v>0.08549241811302649</v>
      </c>
      <c r="T315" s="5">
        <f t="shared" si="246"/>
        <v>449.91728125861374</v>
      </c>
      <c r="U315" s="4">
        <f t="shared" si="235"/>
        <v>461.2271883911464</v>
      </c>
      <c r="V315" s="4">
        <f t="shared" si="226"/>
        <v>0.10668194413488062</v>
      </c>
      <c r="W315" s="4">
        <f>SUMPRODUCT($J$4:J315,$S$43:S$354)</f>
        <v>12.917339417541248</v>
      </c>
      <c r="X315" s="6">
        <f t="shared" si="255"/>
        <v>2.6701910717146826</v>
      </c>
      <c r="Y315" s="4">
        <f t="shared" si="236"/>
        <v>2061</v>
      </c>
      <c r="Z315" s="4">
        <f t="shared" si="247"/>
        <v>311</v>
      </c>
      <c r="AA315" s="3">
        <f t="shared" si="210"/>
        <v>114.11</v>
      </c>
      <c r="AB315" s="6">
        <f t="shared" si="237"/>
        <v>220.4453745</v>
      </c>
      <c r="AC315" s="4">
        <f t="shared" si="221"/>
        <v>220.3943984324275</v>
      </c>
      <c r="AD315" s="4">
        <f t="shared" si="222"/>
        <v>8.568352733605966</v>
      </c>
      <c r="AE315" s="4">
        <f t="shared" si="252"/>
        <v>0.05097606757252038</v>
      </c>
      <c r="AF315" s="6">
        <f t="shared" si="211"/>
        <v>1888.4169462799325</v>
      </c>
      <c r="AG315" s="30">
        <f t="shared" si="250"/>
        <v>0.5836525835425603</v>
      </c>
      <c r="AH315" s="3">
        <f t="shared" si="212"/>
        <v>1.4553</v>
      </c>
      <c r="AI315" s="47">
        <f t="shared" si="238"/>
        <v>3.4303</v>
      </c>
      <c r="AJ315" s="4">
        <f t="shared" si="223"/>
        <v>2.9519466790985662</v>
      </c>
      <c r="AK315" s="4">
        <f t="shared" si="201"/>
        <v>120</v>
      </c>
      <c r="AL315" s="4">
        <f t="shared" si="202"/>
        <v>0.4783533209014337</v>
      </c>
      <c r="AM315" s="4">
        <f t="shared" si="213"/>
        <v>354.2336014918279</v>
      </c>
      <c r="AN315" s="26">
        <f t="shared" si="239"/>
        <v>0.2794406502679381</v>
      </c>
      <c r="AO315" s="4">
        <f t="shared" si="240"/>
        <v>0.9775986745951101</v>
      </c>
      <c r="AP315" s="3">
        <f t="shared" si="214"/>
        <v>30</v>
      </c>
      <c r="AQ315" s="3">
        <f t="shared" si="215"/>
        <v>870</v>
      </c>
      <c r="AR315" s="21">
        <f t="shared" si="216"/>
        <v>138</v>
      </c>
      <c r="AS315" s="35">
        <f t="shared" si="227"/>
        <v>0.1167085472657885</v>
      </c>
      <c r="AT315" s="36">
        <f t="shared" si="217"/>
        <v>-0.02265604633995796</v>
      </c>
      <c r="AU315" s="4">
        <f t="shared" si="218"/>
        <v>34.35400072406184</v>
      </c>
      <c r="AV315" s="4">
        <f t="shared" si="204"/>
        <v>0.3928680304105973</v>
      </c>
      <c r="AW315" s="4">
        <f t="shared" si="254"/>
        <v>0.02918262917712802</v>
      </c>
      <c r="AX315" s="3">
        <f t="shared" si="219"/>
        <v>67.8</v>
      </c>
      <c r="AY315" s="36">
        <f t="shared" si="205"/>
        <v>-0.4</v>
      </c>
      <c r="AZ315" s="36">
        <f t="shared" si="228"/>
        <v>-0.8000000000000002</v>
      </c>
      <c r="BA315" s="36">
        <f t="shared" si="206"/>
        <v>-0.1</v>
      </c>
      <c r="BB315" s="6">
        <f t="shared" si="253"/>
        <v>2.655334965112906</v>
      </c>
      <c r="BC315" s="6">
        <f t="shared" si="248"/>
        <v>0.01823998241948921</v>
      </c>
      <c r="BD315" s="4">
        <f t="shared" si="241"/>
        <v>0.687278357858227</v>
      </c>
      <c r="BE315" s="4">
        <f>SUMPRODUCT(BC$4:BC315,$BD$43:BD$354)</f>
        <v>1.7923768580324226</v>
      </c>
      <c r="BF315" s="23">
        <f t="shared" si="242"/>
        <v>1.7923768580324226</v>
      </c>
      <c r="BG315" s="4">
        <f t="shared" si="207"/>
        <v>1.0897355202406507</v>
      </c>
    </row>
    <row r="316" spans="5:59" ht="15">
      <c r="E316" s="1">
        <f t="shared" si="243"/>
        <v>312</v>
      </c>
      <c r="F316" s="1">
        <f t="shared" si="229"/>
        <v>2062</v>
      </c>
      <c r="G316" s="3">
        <f t="shared" si="208"/>
        <v>3.13</v>
      </c>
      <c r="H316" s="3">
        <f t="shared" si="209"/>
        <v>0.43</v>
      </c>
      <c r="I316" s="5">
        <f t="shared" si="230"/>
        <v>0.8785385934674328</v>
      </c>
      <c r="J316" s="5">
        <f t="shared" si="251"/>
        <v>1.2488067825214602</v>
      </c>
      <c r="K316" s="4">
        <f t="shared" si="231"/>
        <v>1.432654624011107</v>
      </c>
      <c r="L316" s="4">
        <f t="shared" si="232"/>
        <v>0.004012756338593921</v>
      </c>
      <c r="M316" s="4">
        <f t="shared" si="225"/>
        <v>8.647969991670575</v>
      </c>
      <c r="N316" s="4">
        <f t="shared" si="233"/>
        <v>0.03470219640004612</v>
      </c>
      <c r="O316" s="4">
        <f>SUMPRODUCT($M$4:M316,L$42:$L$354)</f>
        <v>6.782832557739215</v>
      </c>
      <c r="P316" s="4">
        <f t="shared" si="234"/>
        <v>1.86513743393136</v>
      </c>
      <c r="Q316" s="4">
        <f t="shared" si="244"/>
        <v>81.92876050462625</v>
      </c>
      <c r="R316" s="4">
        <f t="shared" si="245"/>
        <v>138.38789824827066</v>
      </c>
      <c r="S316" s="4">
        <f t="shared" si="249"/>
        <v>0.0865599202880442</v>
      </c>
      <c r="T316" s="5">
        <f t="shared" si="246"/>
        <v>451.3425247139316</v>
      </c>
      <c r="U316" s="4">
        <f t="shared" si="235"/>
        <v>462.6609964806878</v>
      </c>
      <c r="V316" s="4">
        <f t="shared" si="226"/>
        <v>0.10809661555022654</v>
      </c>
      <c r="W316" s="4">
        <f>SUMPRODUCT($J$4:J316,$S$42:S$354)</f>
        <v>12.993093186572322</v>
      </c>
      <c r="X316" s="6">
        <f t="shared" si="255"/>
        <v>2.6867967163436455</v>
      </c>
      <c r="Y316" s="4">
        <f t="shared" si="236"/>
        <v>2062</v>
      </c>
      <c r="Z316" s="4">
        <f t="shared" si="247"/>
        <v>312</v>
      </c>
      <c r="AA316" s="3">
        <f t="shared" si="210"/>
        <v>114.11</v>
      </c>
      <c r="AB316" s="6">
        <f t="shared" si="237"/>
        <v>220.4453745</v>
      </c>
      <c r="AC316" s="4">
        <f t="shared" si="221"/>
        <v>220.39868315414307</v>
      </c>
      <c r="AD316" s="4">
        <f t="shared" si="222"/>
        <v>8.568417448423423</v>
      </c>
      <c r="AE316" s="4">
        <f t="shared" si="252"/>
        <v>0.046691345856942235</v>
      </c>
      <c r="AF316" s="6">
        <f t="shared" si="211"/>
        <v>1888.467922347505</v>
      </c>
      <c r="AG316" s="30">
        <f t="shared" si="250"/>
        <v>0.5836736983419499</v>
      </c>
      <c r="AH316" s="3">
        <f t="shared" si="212"/>
        <v>1.4553</v>
      </c>
      <c r="AI316" s="47">
        <f t="shared" si="238"/>
        <v>3.4303</v>
      </c>
      <c r="AJ316" s="4">
        <f t="shared" si="223"/>
        <v>2.9559329567727444</v>
      </c>
      <c r="AK316" s="4">
        <f t="shared" si="201"/>
        <v>120</v>
      </c>
      <c r="AL316" s="4">
        <f t="shared" si="202"/>
        <v>0.47436704322725554</v>
      </c>
      <c r="AM316" s="4">
        <f t="shared" si="213"/>
        <v>354.71195481272935</v>
      </c>
      <c r="AN316" s="26">
        <f t="shared" si="239"/>
        <v>0.2809650842591391</v>
      </c>
      <c r="AO316" s="4">
        <f t="shared" si="240"/>
        <v>0.9775902301467186</v>
      </c>
      <c r="AP316" s="3">
        <f t="shared" si="214"/>
        <v>30</v>
      </c>
      <c r="AQ316" s="3">
        <f t="shared" si="215"/>
        <v>870</v>
      </c>
      <c r="AR316" s="21">
        <f t="shared" si="216"/>
        <v>138</v>
      </c>
      <c r="AS316" s="35">
        <f t="shared" si="227"/>
        <v>0.11670766579935933</v>
      </c>
      <c r="AT316" s="36">
        <f t="shared" si="217"/>
        <v>-0.022664684327183687</v>
      </c>
      <c r="AU316" s="4">
        <f t="shared" si="218"/>
        <v>34.354135692612246</v>
      </c>
      <c r="AV316" s="4">
        <f t="shared" si="204"/>
        <v>0.39287369908971437</v>
      </c>
      <c r="AW316" s="4">
        <f t="shared" si="254"/>
        <v>0.0291836849170975</v>
      </c>
      <c r="AX316" s="3">
        <f t="shared" si="219"/>
        <v>67.8</v>
      </c>
      <c r="AY316" s="36">
        <f t="shared" si="205"/>
        <v>-0.4</v>
      </c>
      <c r="AZ316" s="36">
        <f t="shared" si="228"/>
        <v>-0.8000000000000002</v>
      </c>
      <c r="BA316" s="36">
        <f t="shared" si="206"/>
        <v>-0.1</v>
      </c>
      <c r="BB316" s="6">
        <f t="shared" si="253"/>
        <v>2.673492882951546</v>
      </c>
      <c r="BC316" s="6">
        <f t="shared" si="248"/>
        <v>0.01815791783864018</v>
      </c>
      <c r="BD316" s="4">
        <f t="shared" si="241"/>
        <v>0.6832715910524222</v>
      </c>
      <c r="BE316" s="4">
        <f>SUMPRODUCT(BC$4:BC316,$BD$42:BD$354)</f>
        <v>1.8079453592859211</v>
      </c>
      <c r="BF316" s="23">
        <f t="shared" si="242"/>
        <v>1.8079453592859211</v>
      </c>
      <c r="BG316" s="4">
        <f t="shared" si="207"/>
        <v>1.1053040214941492</v>
      </c>
    </row>
    <row r="317" spans="5:59" ht="15">
      <c r="E317" s="1">
        <f t="shared" si="243"/>
        <v>313</v>
      </c>
      <c r="F317" s="1">
        <f t="shared" si="229"/>
        <v>2063</v>
      </c>
      <c r="G317" s="3">
        <f t="shared" si="208"/>
        <v>3.13</v>
      </c>
      <c r="H317" s="3">
        <f t="shared" si="209"/>
        <v>0.43</v>
      </c>
      <c r="I317" s="5">
        <f t="shared" si="230"/>
        <v>0.8787107409062139</v>
      </c>
      <c r="J317" s="5">
        <f t="shared" si="251"/>
        <v>1.2497434259002245</v>
      </c>
      <c r="K317" s="4">
        <f t="shared" si="231"/>
        <v>1.4315458331935615</v>
      </c>
      <c r="L317" s="4">
        <f t="shared" si="232"/>
        <v>0.004136256984459619</v>
      </c>
      <c r="M317" s="4">
        <f t="shared" si="225"/>
        <v>8.701210258318888</v>
      </c>
      <c r="N317" s="4">
        <f t="shared" si="233"/>
        <v>0.035990441704223185</v>
      </c>
      <c r="O317" s="4">
        <f>SUMPRODUCT($M$4:M317,L$41:$L$354)</f>
        <v>6.835707355374995</v>
      </c>
      <c r="P317" s="4">
        <f t="shared" si="234"/>
        <v>1.8655029029438923</v>
      </c>
      <c r="Q317" s="4">
        <f t="shared" si="244"/>
        <v>82.40923192367418</v>
      </c>
      <c r="R317" s="4">
        <f t="shared" si="245"/>
        <v>139.43184777167951</v>
      </c>
      <c r="S317" s="4">
        <f t="shared" si="249"/>
        <v>0.08766972650119483</v>
      </c>
      <c r="T317" s="5">
        <f t="shared" si="246"/>
        <v>452.766771994143</v>
      </c>
      <c r="U317" s="4">
        <f t="shared" si="235"/>
        <v>464.0936511046989</v>
      </c>
      <c r="V317" s="4">
        <f t="shared" si="226"/>
        <v>0.10956466434533892</v>
      </c>
      <c r="W317" s="4">
        <f>SUMPRODUCT($J$4:J317,$S$41:S$354)</f>
        <v>13.068513737637947</v>
      </c>
      <c r="X317" s="6">
        <f t="shared" si="255"/>
        <v>2.703337681881884</v>
      </c>
      <c r="Y317" s="4">
        <f t="shared" si="236"/>
        <v>2063</v>
      </c>
      <c r="Z317" s="4">
        <f t="shared" si="247"/>
        <v>313</v>
      </c>
      <c r="AA317" s="3">
        <f t="shared" si="210"/>
        <v>114.11</v>
      </c>
      <c r="AB317" s="6">
        <f t="shared" si="237"/>
        <v>220.4453745</v>
      </c>
      <c r="AC317" s="4">
        <f t="shared" si="221"/>
        <v>220.40260770278684</v>
      </c>
      <c r="AD317" s="4">
        <f t="shared" si="222"/>
        <v>8.568476722562313</v>
      </c>
      <c r="AE317" s="4">
        <f t="shared" si="252"/>
        <v>0.04276679721317578</v>
      </c>
      <c r="AF317" s="6">
        <f t="shared" si="211"/>
        <v>1888.514613693362</v>
      </c>
      <c r="AG317" s="30">
        <f t="shared" si="250"/>
        <v>0.583693038116498</v>
      </c>
      <c r="AH317" s="3">
        <f t="shared" si="212"/>
        <v>1.4553</v>
      </c>
      <c r="AI317" s="47">
        <f t="shared" si="238"/>
        <v>3.4303</v>
      </c>
      <c r="AJ317" s="4">
        <f t="shared" si="223"/>
        <v>2.9598860154663047</v>
      </c>
      <c r="AK317" s="4">
        <f t="shared" si="201"/>
        <v>120</v>
      </c>
      <c r="AL317" s="4">
        <f t="shared" si="202"/>
        <v>0.4704139845336952</v>
      </c>
      <c r="AM317" s="4">
        <f t="shared" si="213"/>
        <v>355.1863218559566</v>
      </c>
      <c r="AN317" s="26">
        <f t="shared" si="239"/>
        <v>0.2824757998811705</v>
      </c>
      <c r="AO317" s="4">
        <f t="shared" si="240"/>
        <v>0.9775824957485773</v>
      </c>
      <c r="AP317" s="3">
        <f t="shared" si="214"/>
        <v>30</v>
      </c>
      <c r="AQ317" s="3">
        <f t="shared" si="215"/>
        <v>870</v>
      </c>
      <c r="AR317" s="21">
        <f t="shared" si="216"/>
        <v>138</v>
      </c>
      <c r="AS317" s="35">
        <f t="shared" si="227"/>
        <v>0.11670685845091033</v>
      </c>
      <c r="AT317" s="36">
        <f t="shared" si="217"/>
        <v>-0.022672596055941994</v>
      </c>
      <c r="AU317" s="4">
        <f t="shared" si="218"/>
        <v>34.354259313374094</v>
      </c>
      <c r="AV317" s="4">
        <f t="shared" si="204"/>
        <v>0.392878891161712</v>
      </c>
      <c r="AW317" s="4">
        <f t="shared" si="254"/>
        <v>0.0291846519058249</v>
      </c>
      <c r="AX317" s="3">
        <f t="shared" si="219"/>
        <v>67.8</v>
      </c>
      <c r="AY317" s="36">
        <f t="shared" si="205"/>
        <v>-0.4</v>
      </c>
      <c r="AZ317" s="36">
        <f t="shared" si="228"/>
        <v>-0.8000000000000002</v>
      </c>
      <c r="BA317" s="36">
        <f t="shared" si="206"/>
        <v>-0.1</v>
      </c>
      <c r="BB317" s="6">
        <f t="shared" si="253"/>
        <v>2.6915700629470893</v>
      </c>
      <c r="BC317" s="6">
        <f t="shared" si="248"/>
        <v>0.018077179995543258</v>
      </c>
      <c r="BD317" s="4">
        <f t="shared" si="241"/>
        <v>0.679018739522882</v>
      </c>
      <c r="BE317" s="4">
        <f>SUMPRODUCT(BC$4:BC317,$BD$41:BD$354)</f>
        <v>1.8234454032136351</v>
      </c>
      <c r="BF317" s="23">
        <f t="shared" si="242"/>
        <v>1.8234454032136351</v>
      </c>
      <c r="BG317" s="4">
        <f t="shared" si="207"/>
        <v>1.1208040654218632</v>
      </c>
    </row>
    <row r="318" spans="5:59" ht="15">
      <c r="E318" s="1">
        <f t="shared" si="243"/>
        <v>314</v>
      </c>
      <c r="F318" s="1">
        <f t="shared" si="229"/>
        <v>2064</v>
      </c>
      <c r="G318" s="3">
        <f t="shared" si="208"/>
        <v>3.13</v>
      </c>
      <c r="H318" s="3">
        <f t="shared" si="209"/>
        <v>0.43</v>
      </c>
      <c r="I318" s="5">
        <f t="shared" si="230"/>
        <v>0.8788563741050677</v>
      </c>
      <c r="J318" s="5">
        <f t="shared" si="251"/>
        <v>1.2506628324614477</v>
      </c>
      <c r="K318" s="4">
        <f t="shared" si="231"/>
        <v>1.4304807934334847</v>
      </c>
      <c r="L318" s="4">
        <f t="shared" si="232"/>
        <v>0.00426543406392847</v>
      </c>
      <c r="M318" s="4">
        <f t="shared" si="225"/>
        <v>8.754245410919996</v>
      </c>
      <c r="N318" s="4">
        <f t="shared" si="233"/>
        <v>0.03734065657972764</v>
      </c>
      <c r="O318" s="4">
        <f>SUMPRODUCT($M$4:M318,L$40:$L$354)</f>
        <v>6.888433328694937</v>
      </c>
      <c r="P318" s="4">
        <f t="shared" si="234"/>
        <v>1.8658120822250588</v>
      </c>
      <c r="Q318" s="4">
        <f t="shared" si="244"/>
        <v>82.88758989396885</v>
      </c>
      <c r="R318" s="4">
        <f t="shared" si="245"/>
        <v>140.47457607441115</v>
      </c>
      <c r="S318" s="4">
        <f t="shared" si="249"/>
        <v>0.08882452360373444</v>
      </c>
      <c r="T318" s="5">
        <f t="shared" si="246"/>
        <v>454.1900655242469</v>
      </c>
      <c r="U318" s="4">
        <f t="shared" si="235"/>
        <v>465.5251969378925</v>
      </c>
      <c r="V318" s="4">
        <f t="shared" si="226"/>
        <v>0.11108953028228523</v>
      </c>
      <c r="W318" s="4">
        <f>SUMPRODUCT($J$4:J318,$S$40:S$354)</f>
        <v>13.143605112627517</v>
      </c>
      <c r="X318" s="6">
        <f t="shared" si="255"/>
        <v>2.7198149215111482</v>
      </c>
      <c r="Y318" s="4">
        <f t="shared" si="236"/>
        <v>2064</v>
      </c>
      <c r="Z318" s="4">
        <f t="shared" si="247"/>
        <v>314</v>
      </c>
      <c r="AA318" s="3">
        <f t="shared" si="210"/>
        <v>114.11</v>
      </c>
      <c r="AB318" s="6">
        <f t="shared" si="237"/>
        <v>220.4453745</v>
      </c>
      <c r="AC318" s="4">
        <f t="shared" si="221"/>
        <v>220.40620235877174</v>
      </c>
      <c r="AD318" s="4">
        <f t="shared" si="222"/>
        <v>8.568531013553006</v>
      </c>
      <c r="AE318" s="4">
        <f t="shared" si="252"/>
        <v>0.039172141228277724</v>
      </c>
      <c r="AF318" s="6">
        <f t="shared" si="211"/>
        <v>1888.5573804905753</v>
      </c>
      <c r="AG318" s="30">
        <f t="shared" si="250"/>
        <v>0.5837107521148048</v>
      </c>
      <c r="AH318" s="3">
        <f t="shared" si="212"/>
        <v>1.4553</v>
      </c>
      <c r="AI318" s="47">
        <f t="shared" si="238"/>
        <v>3.4303</v>
      </c>
      <c r="AJ318" s="4">
        <f t="shared" si="223"/>
        <v>2.963806132004086</v>
      </c>
      <c r="AK318" s="4">
        <f t="shared" si="201"/>
        <v>120</v>
      </c>
      <c r="AL318" s="4">
        <f t="shared" si="202"/>
        <v>0.4664938679959141</v>
      </c>
      <c r="AM318" s="4">
        <f t="shared" si="213"/>
        <v>355.6567358404903</v>
      </c>
      <c r="AN318" s="26">
        <f t="shared" si="239"/>
        <v>0.2839729302943776</v>
      </c>
      <c r="AO318" s="4">
        <f t="shared" si="240"/>
        <v>0.9775754116714399</v>
      </c>
      <c r="AP318" s="3">
        <f t="shared" si="214"/>
        <v>30</v>
      </c>
      <c r="AQ318" s="3">
        <f t="shared" si="215"/>
        <v>870</v>
      </c>
      <c r="AR318" s="21">
        <f t="shared" si="216"/>
        <v>138</v>
      </c>
      <c r="AS318" s="35">
        <f t="shared" si="227"/>
        <v>0.11670611898565592</v>
      </c>
      <c r="AT318" s="36">
        <f t="shared" si="217"/>
        <v>-0.022679842608366706</v>
      </c>
      <c r="AU318" s="4">
        <f t="shared" si="218"/>
        <v>34.35437254075573</v>
      </c>
      <c r="AV318" s="4">
        <f t="shared" si="204"/>
        <v>0.3928836467117408</v>
      </c>
      <c r="AW318" s="4">
        <f t="shared" si="254"/>
        <v>0.029185537605740244</v>
      </c>
      <c r="AX318" s="3">
        <f t="shared" si="219"/>
        <v>67.8</v>
      </c>
      <c r="AY318" s="36">
        <f t="shared" si="205"/>
        <v>-0.4</v>
      </c>
      <c r="AZ318" s="36">
        <f t="shared" si="228"/>
        <v>-0.8000000000000002</v>
      </c>
      <c r="BA318" s="36">
        <f t="shared" si="206"/>
        <v>-0.1</v>
      </c>
      <c r="BB318" s="6">
        <f t="shared" si="253"/>
        <v>2.7095677882378113</v>
      </c>
      <c r="BC318" s="6">
        <f t="shared" si="248"/>
        <v>0.017997725290721966</v>
      </c>
      <c r="BD318" s="4">
        <f t="shared" si="241"/>
        <v>0.6745022023809865</v>
      </c>
      <c r="BE318" s="4">
        <f>SUMPRODUCT(BC$4:BC318,$BD$40:BD$354)</f>
        <v>1.8388782333597156</v>
      </c>
      <c r="BF318" s="23">
        <f t="shared" si="242"/>
        <v>1.8388782333597156</v>
      </c>
      <c r="BG318" s="4">
        <f t="shared" si="207"/>
        <v>1.1362368955679436</v>
      </c>
    </row>
    <row r="319" spans="5:59" ht="15">
      <c r="E319" s="1">
        <f t="shared" si="243"/>
        <v>315</v>
      </c>
      <c r="F319" s="1">
        <f t="shared" si="229"/>
        <v>2065</v>
      </c>
      <c r="G319" s="3">
        <f t="shared" si="208"/>
        <v>3.13</v>
      </c>
      <c r="H319" s="3">
        <f t="shared" si="209"/>
        <v>0.43</v>
      </c>
      <c r="I319" s="5">
        <f t="shared" si="230"/>
        <v>0.8789761849648131</v>
      </c>
      <c r="J319" s="5">
        <f t="shared" si="251"/>
        <v>1.2515653895708696</v>
      </c>
      <c r="K319" s="4">
        <f t="shared" si="231"/>
        <v>1.4294584254643175</v>
      </c>
      <c r="L319" s="4">
        <f t="shared" si="232"/>
        <v>0.00440064268929191</v>
      </c>
      <c r="M319" s="4">
        <f t="shared" si="225"/>
        <v>8.807078448583848</v>
      </c>
      <c r="N319" s="4">
        <f t="shared" si="233"/>
        <v>0.038756805388780846</v>
      </c>
      <c r="O319" s="4">
        <f>SUMPRODUCT($M$4:M319,L$39:$L$354)</f>
        <v>6.9410120079035496</v>
      </c>
      <c r="P319" s="4">
        <f t="shared" si="234"/>
        <v>1.8660664406802985</v>
      </c>
      <c r="Q319" s="4">
        <f t="shared" si="244"/>
        <v>83.36386005136127</v>
      </c>
      <c r="R319" s="4">
        <f t="shared" si="245"/>
        <v>141.5161094255846</v>
      </c>
      <c r="S319" s="4">
        <f t="shared" si="249"/>
        <v>0.09002726260859395</v>
      </c>
      <c r="T319" s="5">
        <f t="shared" si="246"/>
        <v>455.6124442859474</v>
      </c>
      <c r="U319" s="4">
        <f t="shared" si="235"/>
        <v>466.955677731326</v>
      </c>
      <c r="V319" s="4">
        <f t="shared" si="226"/>
        <v>0.11267500599872386</v>
      </c>
      <c r="W319" s="4">
        <f>SUMPRODUCT($J$4:J319,$S$39:S$354)</f>
        <v>13.218371369772727</v>
      </c>
      <c r="X319" s="6">
        <f t="shared" si="255"/>
        <v>2.736229367010661</v>
      </c>
      <c r="Y319" s="4">
        <f t="shared" si="236"/>
        <v>2065</v>
      </c>
      <c r="Z319" s="4">
        <f t="shared" si="247"/>
        <v>315</v>
      </c>
      <c r="AA319" s="3">
        <f t="shared" si="210"/>
        <v>114.11</v>
      </c>
      <c r="AB319" s="6">
        <f t="shared" si="237"/>
        <v>220.4453745</v>
      </c>
      <c r="AC319" s="4">
        <f t="shared" si="221"/>
        <v>220.40949485608536</v>
      </c>
      <c r="AD319" s="4">
        <f t="shared" si="222"/>
        <v>8.568580740430207</v>
      </c>
      <c r="AE319" s="4">
        <f t="shared" si="252"/>
        <v>0.03587964391465448</v>
      </c>
      <c r="AF319" s="6">
        <f t="shared" si="211"/>
        <v>1888.5965526318037</v>
      </c>
      <c r="AG319" s="30">
        <f t="shared" si="250"/>
        <v>0.5837269770313788</v>
      </c>
      <c r="AH319" s="3">
        <f t="shared" si="212"/>
        <v>1.4553</v>
      </c>
      <c r="AI319" s="47">
        <f t="shared" si="238"/>
        <v>3.4303</v>
      </c>
      <c r="AJ319" s="4">
        <f t="shared" si="223"/>
        <v>2.9676935809040517</v>
      </c>
      <c r="AK319" s="4">
        <f aca="true" t="shared" si="256" ref="AK319:AK354">120*(AI319/$AI$254)^-0.055</f>
        <v>120</v>
      </c>
      <c r="AL319" s="4">
        <f aca="true" t="shared" si="257" ref="AL319:AL354">AI319-AJ319</f>
        <v>0.46260641909594824</v>
      </c>
      <c r="AM319" s="4">
        <f t="shared" si="213"/>
        <v>356.1232297084862</v>
      </c>
      <c r="AN319" s="26">
        <f t="shared" si="239"/>
        <v>0.2854566071807153</v>
      </c>
      <c r="AO319" s="4">
        <f t="shared" si="240"/>
        <v>0.9775689232144595</v>
      </c>
      <c r="AP319" s="3">
        <f t="shared" si="214"/>
        <v>30</v>
      </c>
      <c r="AQ319" s="3">
        <f t="shared" si="215"/>
        <v>870</v>
      </c>
      <c r="AR319" s="21">
        <f t="shared" si="216"/>
        <v>138</v>
      </c>
      <c r="AS319" s="35">
        <f t="shared" si="227"/>
        <v>0.11670544169369554</v>
      </c>
      <c r="AT319" s="36">
        <f t="shared" si="217"/>
        <v>-0.022686479925995526</v>
      </c>
      <c r="AU319" s="4">
        <f t="shared" si="218"/>
        <v>34.35447624884368</v>
      </c>
      <c r="AV319" s="4">
        <f aca="true" t="shared" si="258" ref="AV319:AV354">0.042*(AU319-$B$14)</f>
        <v>0.3928880024514347</v>
      </c>
      <c r="AW319" s="4">
        <f t="shared" si="254"/>
        <v>0.02918634885156894</v>
      </c>
      <c r="AX319" s="3">
        <f t="shared" si="219"/>
        <v>67.8</v>
      </c>
      <c r="AY319" s="36">
        <f aca="true" t="shared" si="259" ref="AY319:AY354">-0.4*(AX319/$AX$254)</f>
        <v>-0.4</v>
      </c>
      <c r="AZ319" s="36">
        <f t="shared" si="228"/>
        <v>-0.8000000000000002</v>
      </c>
      <c r="BA319" s="36">
        <f aca="true" t="shared" si="260" ref="BA319:BA354">-0.1*(AQ319/$AQ$254)</f>
        <v>-0.1</v>
      </c>
      <c r="BB319" s="6">
        <f t="shared" si="253"/>
        <v>2.7274873025257587</v>
      </c>
      <c r="BC319" s="6">
        <f t="shared" si="248"/>
        <v>0.017919514287947358</v>
      </c>
      <c r="BD319" s="4">
        <f t="shared" si="241"/>
        <v>0.6697031132317616</v>
      </c>
      <c r="BE319" s="4">
        <f>SUMPRODUCT(BC$4:BC319,$BD$39:BD$354)</f>
        <v>1.8542450671118715</v>
      </c>
      <c r="BF319" s="23">
        <f t="shared" si="242"/>
        <v>1.8542450671118715</v>
      </c>
      <c r="BG319" s="4">
        <f aca="true" t="shared" si="261" ref="BG319:BG353">BF319-$BF$254</f>
        <v>1.1516037293200996</v>
      </c>
    </row>
    <row r="320" spans="5:59" ht="15">
      <c r="E320" s="1">
        <f t="shared" si="243"/>
        <v>316</v>
      </c>
      <c r="F320" s="1">
        <f t="shared" si="229"/>
        <v>2066</v>
      </c>
      <c r="G320" s="3">
        <f aca="true" t="shared" si="262" ref="G320:G354">G319+($B$21/100)*G319</f>
        <v>3.13</v>
      </c>
      <c r="H320" s="3">
        <f aca="true" t="shared" si="263" ref="H320:H354">H319+($B$21/100)*H319</f>
        <v>0.43</v>
      </c>
      <c r="I320" s="5">
        <f t="shared" si="230"/>
        <v>0.8790708411541346</v>
      </c>
      <c r="J320" s="5">
        <f t="shared" si="251"/>
        <v>1.252451521130622</v>
      </c>
      <c r="K320" s="4">
        <f t="shared" si="231"/>
        <v>1.4284776377152433</v>
      </c>
      <c r="L320" s="4">
        <f t="shared" si="232"/>
        <v>0.004542285876026902</v>
      </c>
      <c r="M320" s="4">
        <f t="shared" si="225"/>
        <v>8.859712296877548</v>
      </c>
      <c r="N320" s="4">
        <f t="shared" si="233"/>
        <v>0.040243346031768754</v>
      </c>
      <c r="O320" s="4">
        <f>SUMPRODUCT($M$4:M320,L$38:$L$354)</f>
        <v>6.9934449011073205</v>
      </c>
      <c r="P320" s="4">
        <f t="shared" si="234"/>
        <v>1.8662673957702278</v>
      </c>
      <c r="Q320" s="4">
        <f t="shared" si="244"/>
        <v>83.83806813535409</v>
      </c>
      <c r="R320" s="4">
        <f t="shared" si="245"/>
        <v>142.55647493359018</v>
      </c>
      <c r="S320" s="4">
        <f t="shared" si="249"/>
        <v>0.09128119811550373</v>
      </c>
      <c r="T320" s="5">
        <f t="shared" si="246"/>
        <v>457.033948039282</v>
      </c>
      <c r="U320" s="4">
        <f t="shared" si="235"/>
        <v>468.3851361567903</v>
      </c>
      <c r="V320" s="4">
        <f t="shared" si="226"/>
        <v>0.1143252754303883</v>
      </c>
      <c r="W320" s="4">
        <f>SUMPRODUCT($J$4:J320,$S$38:S$354)</f>
        <v>13.292816539063834</v>
      </c>
      <c r="X320" s="6">
        <f t="shared" si="255"/>
        <v>2.7525819273109686</v>
      </c>
      <c r="Y320" s="4">
        <f t="shared" si="236"/>
        <v>2066</v>
      </c>
      <c r="Z320" s="4">
        <f t="shared" si="247"/>
        <v>316</v>
      </c>
      <c r="AA320" s="3">
        <f aca="true" t="shared" si="264" ref="AA320:AA354">AA319+($B$22/100)*AA319</f>
        <v>114.11</v>
      </c>
      <c r="AB320" s="6">
        <f t="shared" si="237"/>
        <v>220.4453745</v>
      </c>
      <c r="AC320" s="4">
        <f t="shared" si="221"/>
        <v>220.4125105965428</v>
      </c>
      <c r="AD320" s="4">
        <f t="shared" si="222"/>
        <v>8.568626286975118</v>
      </c>
      <c r="AE320" s="4">
        <f t="shared" si="252"/>
        <v>0.03286390345721202</v>
      </c>
      <c r="AF320" s="6">
        <f aca="true" t="shared" si="265" ref="AF320:AF354">AF319+AE319</f>
        <v>1888.6324322757182</v>
      </c>
      <c r="AG320" s="30">
        <f t="shared" si="250"/>
        <v>0.5837418380634146</v>
      </c>
      <c r="AH320" s="3">
        <f aca="true" t="shared" si="266" ref="AH320:AH354">AH319+($B$22/100)*AH319</f>
        <v>1.4553</v>
      </c>
      <c r="AI320" s="47">
        <f t="shared" si="238"/>
        <v>3.4303</v>
      </c>
      <c r="AJ320" s="4">
        <f t="shared" si="223"/>
        <v>2.971548634396518</v>
      </c>
      <c r="AK320" s="4">
        <f t="shared" si="256"/>
        <v>120</v>
      </c>
      <c r="AL320" s="4">
        <f t="shared" si="257"/>
        <v>0.45875136560348206</v>
      </c>
      <c r="AM320" s="4">
        <f aca="true" t="shared" si="267" ref="AM320:AM354">AL319+AM319</f>
        <v>356.5858361275821</v>
      </c>
      <c r="AN320" s="26">
        <f t="shared" si="239"/>
        <v>0.2869269607638209</v>
      </c>
      <c r="AO320" s="4">
        <f t="shared" si="240"/>
        <v>0.9775629802812216</v>
      </c>
      <c r="AP320" s="3">
        <f aca="true" t="shared" si="268" ref="AP320:AP354">AP319+($B$22/100)*AP319</f>
        <v>30</v>
      </c>
      <c r="AQ320" s="3">
        <f aca="true" t="shared" si="269" ref="AQ320:AQ354">AQ319+($B$22/100)*AQ319</f>
        <v>870</v>
      </c>
      <c r="AR320" s="21">
        <f aca="true" t="shared" si="270" ref="AR320:AR354">AR319+($B$22/100)*AR319</f>
        <v>138</v>
      </c>
      <c r="AS320" s="35">
        <f t="shared" si="227"/>
        <v>0.11670482134575838</v>
      </c>
      <c r="AT320" s="36">
        <f aca="true" t="shared" si="271" ref="AT320:AT354">-0.32*LN(AF320/$AF$254)+0.0042*(AI320-$AI$254)-0.000105*(AQ320-$AQ$254)-0.000315*(AR320-$AR$254)</f>
        <v>-0.022692559242922718</v>
      </c>
      <c r="AU320" s="4">
        <f aca="true" t="shared" si="272" ref="AU320:AU354">$AU$254+5*LN(AF320/$AF$254)+0.125*(AP320-$AP$254)+0.0011*(AQ320-$AQ$254)+0.0033*(AR320-$AR$254)</f>
        <v>34.35457123817067</v>
      </c>
      <c r="AV320" s="4">
        <f t="shared" si="258"/>
        <v>0.3928919920031682</v>
      </c>
      <c r="AW320" s="4">
        <f t="shared" si="254"/>
        <v>0.02918709190317073</v>
      </c>
      <c r="AX320" s="3">
        <f aca="true" t="shared" si="273" ref="AX320:AX354">AX319+($B$23/100)*AX319</f>
        <v>67.8</v>
      </c>
      <c r="AY320" s="36">
        <f t="shared" si="259"/>
        <v>-0.4</v>
      </c>
      <c r="AZ320" s="36">
        <f t="shared" si="228"/>
        <v>-0.8000000000000002</v>
      </c>
      <c r="BA320" s="36">
        <f t="shared" si="260"/>
        <v>-0.1</v>
      </c>
      <c r="BB320" s="6">
        <f t="shared" si="253"/>
        <v>2.745329810044543</v>
      </c>
      <c r="BC320" s="6">
        <f t="shared" si="248"/>
        <v>0.017842507518784245</v>
      </c>
      <c r="BD320" s="4">
        <f t="shared" si="241"/>
        <v>0.6646012491686378</v>
      </c>
      <c r="BE320" s="4">
        <f>SUMPRODUCT(BC$4:BC320,$BD$38:BD$354)</f>
        <v>1.8695470956171478</v>
      </c>
      <c r="BF320" s="23">
        <f t="shared" si="242"/>
        <v>1.8695470956171478</v>
      </c>
      <c r="BG320" s="4">
        <f t="shared" si="261"/>
        <v>1.1669057578253759</v>
      </c>
    </row>
    <row r="321" spans="5:59" ht="15">
      <c r="E321" s="1">
        <f t="shared" si="243"/>
        <v>317</v>
      </c>
      <c r="F321" s="1">
        <f t="shared" si="229"/>
        <v>2067</v>
      </c>
      <c r="G321" s="3">
        <f t="shared" si="262"/>
        <v>3.13</v>
      </c>
      <c r="H321" s="3">
        <f t="shared" si="263"/>
        <v>0.43</v>
      </c>
      <c r="I321" s="5">
        <f t="shared" si="230"/>
        <v>0.8791409864600793</v>
      </c>
      <c r="J321" s="5">
        <f t="shared" si="251"/>
        <v>1.2533214827004662</v>
      </c>
      <c r="K321" s="4">
        <f t="shared" si="231"/>
        <v>1.4275375308394544</v>
      </c>
      <c r="L321" s="4">
        <f t="shared" si="232"/>
        <v>0.004690829146087805</v>
      </c>
      <c r="M321" s="4">
        <f t="shared" si="225"/>
        <v>8.91214980850507</v>
      </c>
      <c r="N321" s="4">
        <f t="shared" si="233"/>
        <v>0.041805372076036434</v>
      </c>
      <c r="O321" s="4">
        <f>SUMPRODUCT($M$4:M321,L$37:$L$354)</f>
        <v>7.045733494250322</v>
      </c>
      <c r="P321" s="4">
        <f t="shared" si="234"/>
        <v>1.8664163142547485</v>
      </c>
      <c r="Q321" s="4">
        <f t="shared" si="244"/>
        <v>84.31023970632752</v>
      </c>
      <c r="R321" s="4">
        <f t="shared" si="245"/>
        <v>143.5956999273745</v>
      </c>
      <c r="S321" s="4">
        <f t="shared" si="249"/>
        <v>0.09258993512956629</v>
      </c>
      <c r="T321" s="5">
        <f t="shared" si="246"/>
        <v>458.45461664548134</v>
      </c>
      <c r="U321" s="4">
        <f t="shared" si="235"/>
        <v>469.8136137945055</v>
      </c>
      <c r="V321" s="4">
        <f t="shared" si="226"/>
        <v>0.116044954779728</v>
      </c>
      <c r="W321" s="4">
        <f>SUMPRODUCT($J$4:J321,$S$37:S$354)</f>
        <v>13.366944429835295</v>
      </c>
      <c r="X321" s="6">
        <f t="shared" si="255"/>
        <v>2.768873488705118</v>
      </c>
      <c r="Y321" s="4">
        <f t="shared" si="236"/>
        <v>2067</v>
      </c>
      <c r="Z321" s="4">
        <f t="shared" si="247"/>
        <v>317</v>
      </c>
      <c r="AA321" s="3">
        <f t="shared" si="264"/>
        <v>114.11</v>
      </c>
      <c r="AB321" s="6">
        <f t="shared" si="237"/>
        <v>220.4453745</v>
      </c>
      <c r="AC321" s="4">
        <f t="shared" si="221"/>
        <v>220.41527284599502</v>
      </c>
      <c r="AD321" s="4">
        <f t="shared" si="222"/>
        <v>8.568668004684017</v>
      </c>
      <c r="AE321" s="4">
        <f t="shared" si="252"/>
        <v>0.030101654004994316</v>
      </c>
      <c r="AF321" s="6">
        <f t="shared" si="265"/>
        <v>1888.6652961791754</v>
      </c>
      <c r="AG321" s="30">
        <f t="shared" si="250"/>
        <v>0.5837554498784898</v>
      </c>
      <c r="AH321" s="3">
        <f t="shared" si="266"/>
        <v>1.4553</v>
      </c>
      <c r="AI321" s="47">
        <f t="shared" si="238"/>
        <v>3.4303</v>
      </c>
      <c r="AJ321" s="4">
        <f t="shared" si="223"/>
        <v>2.9753715624432133</v>
      </c>
      <c r="AK321" s="4">
        <f t="shared" si="256"/>
        <v>120</v>
      </c>
      <c r="AL321" s="4">
        <f t="shared" si="257"/>
        <v>0.4549284375567866</v>
      </c>
      <c r="AM321" s="4">
        <f t="shared" si="267"/>
        <v>357.0445874931856</v>
      </c>
      <c r="AN321" s="26">
        <f t="shared" si="239"/>
        <v>0.28838411982873724</v>
      </c>
      <c r="AO321" s="4">
        <f t="shared" si="240"/>
        <v>0.9775575369916281</v>
      </c>
      <c r="AP321" s="3">
        <f t="shared" si="268"/>
        <v>30</v>
      </c>
      <c r="AQ321" s="3">
        <f t="shared" si="269"/>
        <v>870</v>
      </c>
      <c r="AR321" s="21">
        <f t="shared" si="270"/>
        <v>138</v>
      </c>
      <c r="AS321" s="35">
        <f t="shared" si="227"/>
        <v>0.11670425315269016</v>
      </c>
      <c r="AT321" s="36">
        <f t="shared" si="271"/>
        <v>-0.022698127482369324</v>
      </c>
      <c r="AU321" s="4">
        <f t="shared" si="272"/>
        <v>34.35465824191202</v>
      </c>
      <c r="AV321" s="4">
        <f t="shared" si="258"/>
        <v>0.39289564616030487</v>
      </c>
      <c r="AW321" s="4">
        <f t="shared" si="254"/>
        <v>0.029187772493924496</v>
      </c>
      <c r="AX321" s="3">
        <f t="shared" si="273"/>
        <v>67.8</v>
      </c>
      <c r="AY321" s="36">
        <f t="shared" si="259"/>
        <v>-0.4</v>
      </c>
      <c r="AZ321" s="36">
        <f t="shared" si="228"/>
        <v>-0.8000000000000002</v>
      </c>
      <c r="BA321" s="36">
        <f t="shared" si="260"/>
        <v>-0.1</v>
      </c>
      <c r="BB321" s="6">
        <f t="shared" si="253"/>
        <v>2.763096477066574</v>
      </c>
      <c r="BC321" s="6">
        <f t="shared" si="248"/>
        <v>0.01776666702203089</v>
      </c>
      <c r="BD321" s="4">
        <f t="shared" si="241"/>
        <v>0.6591749332237944</v>
      </c>
      <c r="BE321" s="4">
        <f>SUMPRODUCT(BC$4:BC321,$BD$37:BD$354)</f>
        <v>1.884785483699974</v>
      </c>
      <c r="BF321" s="23">
        <f t="shared" si="242"/>
        <v>1.884785483699974</v>
      </c>
      <c r="BG321" s="4">
        <f t="shared" si="261"/>
        <v>1.182144145908202</v>
      </c>
    </row>
    <row r="322" spans="5:59" ht="15">
      <c r="E322" s="1">
        <f t="shared" si="243"/>
        <v>318</v>
      </c>
      <c r="F322" s="1">
        <f t="shared" si="229"/>
        <v>2068</v>
      </c>
      <c r="G322" s="3">
        <f t="shared" si="262"/>
        <v>3.13</v>
      </c>
      <c r="H322" s="3">
        <f t="shared" si="263"/>
        <v>0.43</v>
      </c>
      <c r="I322" s="5">
        <f t="shared" si="230"/>
        <v>0.8791872447237662</v>
      </c>
      <c r="J322" s="5">
        <f t="shared" si="251"/>
        <v>1.254175570955249</v>
      </c>
      <c r="K322" s="4">
        <f t="shared" si="231"/>
        <v>1.426637184320985</v>
      </c>
      <c r="L322" s="4">
        <f t="shared" si="232"/>
        <v>0.004846820777872494</v>
      </c>
      <c r="M322" s="4">
        <f t="shared" si="225"/>
        <v>8.9643937714454</v>
      </c>
      <c r="N322" s="4">
        <f t="shared" si="233"/>
        <v>0.04344880999247233</v>
      </c>
      <c r="O322" s="4">
        <f>SUMPRODUCT($M$4:M322,L$36:$L$354)</f>
        <v>7.097879250896844</v>
      </c>
      <c r="P322" s="4">
        <f t="shared" si="234"/>
        <v>1.8665145205485558</v>
      </c>
      <c r="Q322" s="4">
        <f t="shared" si="244"/>
        <v>84.7803989251432</v>
      </c>
      <c r="R322" s="4">
        <f t="shared" si="245"/>
        <v>144.6338092522051</v>
      </c>
      <c r="S322" s="4">
        <f t="shared" si="249"/>
        <v>0.09395748477557028</v>
      </c>
      <c r="T322" s="5">
        <f t="shared" si="246"/>
        <v>459.87448712866</v>
      </c>
      <c r="U322" s="4">
        <f t="shared" si="235"/>
        <v>471.24115132534496</v>
      </c>
      <c r="V322" s="4">
        <f t="shared" si="226"/>
        <v>0.11783918211391997</v>
      </c>
      <c r="W322" s="4">
        <f>SUMPRODUCT($J$4:J322,$S$36:S$354)</f>
        <v>13.440758768498876</v>
      </c>
      <c r="X322" s="6">
        <f t="shared" si="255"/>
        <v>2.785104917377055</v>
      </c>
      <c r="Y322" s="4">
        <f t="shared" si="236"/>
        <v>2068</v>
      </c>
      <c r="Z322" s="4">
        <f t="shared" si="247"/>
        <v>318</v>
      </c>
      <c r="AA322" s="3">
        <f t="shared" si="264"/>
        <v>114.11</v>
      </c>
      <c r="AB322" s="6">
        <f t="shared" si="237"/>
        <v>220.4453745</v>
      </c>
      <c r="AC322" s="4">
        <f t="shared" si="221"/>
        <v>220.4178029140145</v>
      </c>
      <c r="AD322" s="4">
        <f t="shared" si="222"/>
        <v>8.568706215486436</v>
      </c>
      <c r="AE322" s="4">
        <f t="shared" si="252"/>
        <v>0.02757158598552678</v>
      </c>
      <c r="AF322" s="6">
        <f t="shared" si="265"/>
        <v>1888.6953978331803</v>
      </c>
      <c r="AG322" s="30">
        <f t="shared" si="250"/>
        <v>0.5837679175007031</v>
      </c>
      <c r="AH322" s="3">
        <f t="shared" si="266"/>
        <v>1.4553</v>
      </c>
      <c r="AI322" s="47">
        <f t="shared" si="238"/>
        <v>3.4303</v>
      </c>
      <c r="AJ322" s="4">
        <f t="shared" si="223"/>
        <v>2.979162632756186</v>
      </c>
      <c r="AK322" s="4">
        <f t="shared" si="256"/>
        <v>120</v>
      </c>
      <c r="AL322" s="4">
        <f t="shared" si="257"/>
        <v>0.4511373672438137</v>
      </c>
      <c r="AM322" s="4">
        <f t="shared" si="267"/>
        <v>357.49951593074235</v>
      </c>
      <c r="AN322" s="26">
        <f t="shared" si="239"/>
        <v>0.2898282117413001</v>
      </c>
      <c r="AO322" s="4">
        <f t="shared" si="240"/>
        <v>0.977552551326583</v>
      </c>
      <c r="AP322" s="3">
        <f t="shared" si="268"/>
        <v>30</v>
      </c>
      <c r="AQ322" s="3">
        <f t="shared" si="269"/>
        <v>870</v>
      </c>
      <c r="AR322" s="21">
        <f t="shared" si="270"/>
        <v>138</v>
      </c>
      <c r="AS322" s="35">
        <f t="shared" si="227"/>
        <v>0.11670373272836396</v>
      </c>
      <c r="AT322" s="36">
        <f t="shared" si="271"/>
        <v>-0.0227032276197732</v>
      </c>
      <c r="AU322" s="4">
        <f t="shared" si="272"/>
        <v>34.35473793155896</v>
      </c>
      <c r="AV322" s="4">
        <f t="shared" si="258"/>
        <v>0.39289899312547627</v>
      </c>
      <c r="AW322" s="4">
        <f t="shared" si="254"/>
        <v>0.029188395875035154</v>
      </c>
      <c r="AX322" s="3">
        <f t="shared" si="273"/>
        <v>67.8</v>
      </c>
      <c r="AY322" s="36">
        <f t="shared" si="259"/>
        <v>-0.4</v>
      </c>
      <c r="AZ322" s="36">
        <f t="shared" si="228"/>
        <v>-0.8000000000000002</v>
      </c>
      <c r="BA322" s="36">
        <f t="shared" si="260"/>
        <v>-0.1</v>
      </c>
      <c r="BB322" s="6">
        <f t="shared" si="253"/>
        <v>2.780788435619569</v>
      </c>
      <c r="BC322" s="6">
        <f t="shared" si="248"/>
        <v>0.017691958552995324</v>
      </c>
      <c r="BD322" s="4">
        <f t="shared" si="241"/>
        <v>0.6534009298034639</v>
      </c>
      <c r="BE322" s="4">
        <f>SUMPRODUCT(BC$4:BC322,$BD$36:BD$354)</f>
        <v>1.8999613698566709</v>
      </c>
      <c r="BF322" s="23">
        <f t="shared" si="242"/>
        <v>1.8999613698566709</v>
      </c>
      <c r="BG322" s="4">
        <f t="shared" si="261"/>
        <v>1.197320032064899</v>
      </c>
    </row>
    <row r="323" spans="5:59" ht="15">
      <c r="E323" s="1">
        <f t="shared" si="243"/>
        <v>319</v>
      </c>
      <c r="F323" s="1">
        <f t="shared" si="229"/>
        <v>2069</v>
      </c>
      <c r="G323" s="3">
        <f t="shared" si="262"/>
        <v>3.13</v>
      </c>
      <c r="H323" s="3">
        <f t="shared" si="263"/>
        <v>0.43</v>
      </c>
      <c r="I323" s="5">
        <f t="shared" si="230"/>
        <v>0.8792102198995483</v>
      </c>
      <c r="J323" s="5">
        <f t="shared" si="251"/>
        <v>1.2550141832313155</v>
      </c>
      <c r="K323" s="4">
        <f t="shared" si="231"/>
        <v>1.4257755968691361</v>
      </c>
      <c r="L323" s="4">
        <f t="shared" si="232"/>
        <v>0.005010919932781785</v>
      </c>
      <c r="M323" s="4">
        <f t="shared" si="225"/>
        <v>9.016446909166115</v>
      </c>
      <c r="N323" s="4">
        <f t="shared" si="233"/>
        <v>0.045180693540009205</v>
      </c>
      <c r="O323" s="4">
        <f>SUMPRODUCT($M$4:M323,L$35:$L$354)</f>
        <v>7.149883612319374</v>
      </c>
      <c r="P323" s="4">
        <f t="shared" si="234"/>
        <v>1.8665632968467412</v>
      </c>
      <c r="Q323" s="4">
        <f t="shared" si="244"/>
        <v>85.24856942672216</v>
      </c>
      <c r="R323" s="4">
        <f t="shared" si="245"/>
        <v>145.6708271594598</v>
      </c>
      <c r="S323" s="4">
        <f t="shared" si="249"/>
        <v>0.09538833072275285</v>
      </c>
      <c r="T323" s="5">
        <f t="shared" si="246"/>
        <v>461.2935957061995</v>
      </c>
      <c r="U323" s="4">
        <f t="shared" si="235"/>
        <v>472.66778850966597</v>
      </c>
      <c r="V323" s="4">
        <f t="shared" si="226"/>
        <v>0.11971370797181427</v>
      </c>
      <c r="W323" s="4">
        <f>SUMPRODUCT($J$4:J323,$S$35:S$354)</f>
        <v>13.514263292319644</v>
      </c>
      <c r="X323" s="6">
        <f t="shared" si="255"/>
        <v>2.801277059467986</v>
      </c>
      <c r="Y323" s="4">
        <f t="shared" si="236"/>
        <v>2069</v>
      </c>
      <c r="Z323" s="4">
        <f t="shared" si="247"/>
        <v>319</v>
      </c>
      <c r="AA323" s="3">
        <f t="shared" si="264"/>
        <v>114.11</v>
      </c>
      <c r="AB323" s="6">
        <f t="shared" si="237"/>
        <v>220.4453745</v>
      </c>
      <c r="AC323" s="4">
        <f aca="true" t="shared" si="274" ref="AC323:AC354">AF323/AD323</f>
        <v>220.42012031845255</v>
      </c>
      <c r="AD323" s="4">
        <f aca="true" t="shared" si="275" ref="AD323:AD354">1/AS323</f>
        <v>8.56874121423411</v>
      </c>
      <c r="AE323" s="4">
        <f t="shared" si="252"/>
        <v>0.02525418154746717</v>
      </c>
      <c r="AF323" s="6">
        <f t="shared" si="265"/>
        <v>1888.7229694191658</v>
      </c>
      <c r="AG323" s="30">
        <f t="shared" si="250"/>
        <v>0.5837793371221509</v>
      </c>
      <c r="AH323" s="3">
        <f t="shared" si="266"/>
        <v>1.4553</v>
      </c>
      <c r="AI323" s="47">
        <f t="shared" si="238"/>
        <v>3.4303</v>
      </c>
      <c r="AJ323" s="4">
        <f aca="true" t="shared" si="276" ref="AJ323:AJ354">AM323/AK323</f>
        <v>2.9829221108165513</v>
      </c>
      <c r="AK323" s="4">
        <f t="shared" si="256"/>
        <v>120</v>
      </c>
      <c r="AL323" s="4">
        <f t="shared" si="257"/>
        <v>0.44737788918344856</v>
      </c>
      <c r="AM323" s="4">
        <f t="shared" si="267"/>
        <v>357.95065329798615</v>
      </c>
      <c r="AN323" s="26">
        <f t="shared" si="239"/>
        <v>0.29125936246719303</v>
      </c>
      <c r="AO323" s="4">
        <f t="shared" si="240"/>
        <v>0.9775479848026937</v>
      </c>
      <c r="AP323" s="3">
        <f t="shared" si="268"/>
        <v>30</v>
      </c>
      <c r="AQ323" s="3">
        <f t="shared" si="269"/>
        <v>870</v>
      </c>
      <c r="AR323" s="21">
        <f t="shared" si="270"/>
        <v>138</v>
      </c>
      <c r="AS323" s="35">
        <f t="shared" si="227"/>
        <v>0.11670325605572415</v>
      </c>
      <c r="AT323" s="36">
        <f t="shared" si="271"/>
        <v>-0.022707899015238432</v>
      </c>
      <c r="AU323" s="4">
        <f t="shared" si="272"/>
        <v>34.3548109221131</v>
      </c>
      <c r="AV323" s="4">
        <f t="shared" si="258"/>
        <v>0.39290205872875034</v>
      </c>
      <c r="AW323" s="4">
        <f t="shared" si="254"/>
        <v>0.02918896685610755</v>
      </c>
      <c r="AX323" s="3">
        <f t="shared" si="273"/>
        <v>67.8</v>
      </c>
      <c r="AY323" s="36">
        <f t="shared" si="259"/>
        <v>-0.4</v>
      </c>
      <c r="AZ323" s="36">
        <f t="shared" si="228"/>
        <v>-0.8000000000000002</v>
      </c>
      <c r="BA323" s="36">
        <f t="shared" si="260"/>
        <v>-0.1</v>
      </c>
      <c r="BB323" s="6">
        <f t="shared" si="253"/>
        <v>2.7984067846421876</v>
      </c>
      <c r="BC323" s="6">
        <f t="shared" si="248"/>
        <v>0.017618349022618496</v>
      </c>
      <c r="BD323" s="4">
        <f t="shared" si="241"/>
        <v>0.64725433260373</v>
      </c>
      <c r="BE323" s="4">
        <f>SUMPRODUCT(BC$4:BC323,$BD$35:BD$354)</f>
        <v>1.9150758664280336</v>
      </c>
      <c r="BF323" s="23">
        <f t="shared" si="242"/>
        <v>1.9150758664280336</v>
      </c>
      <c r="BG323" s="4">
        <f t="shared" si="261"/>
        <v>1.2124345286362617</v>
      </c>
    </row>
    <row r="324" spans="5:59" ht="15">
      <c r="E324" s="1">
        <f t="shared" si="243"/>
        <v>320</v>
      </c>
      <c r="F324" s="1">
        <f t="shared" si="229"/>
        <v>2070</v>
      </c>
      <c r="G324" s="3">
        <f t="shared" si="262"/>
        <v>3.13</v>
      </c>
      <c r="H324" s="3">
        <f t="shared" si="263"/>
        <v>0.43</v>
      </c>
      <c r="I324" s="5">
        <f t="shared" si="230"/>
        <v>0.8792104950695044</v>
      </c>
      <c r="J324" s="5">
        <f t="shared" si="251"/>
        <v>1.255837622086339</v>
      </c>
      <c r="K324" s="4">
        <f t="shared" si="231"/>
        <v>1.4249518828441565</v>
      </c>
      <c r="L324" s="4">
        <f t="shared" si="232"/>
        <v>0.005183935750565941</v>
      </c>
      <c r="M324" s="4">
        <f aca="true" t="shared" si="277" ref="M324:M354">60*$B$8*LN(U324/$U$4)</f>
        <v>9.068311878665645</v>
      </c>
      <c r="N324" s="4">
        <f t="shared" si="233"/>
        <v>0.04700954614509663</v>
      </c>
      <c r="O324" s="4">
        <f>SUMPRODUCT($M$4:M324,L$34:$L$354)</f>
        <v>7.2017479976330865</v>
      </c>
      <c r="P324" s="4">
        <f t="shared" si="234"/>
        <v>1.8665638810325582</v>
      </c>
      <c r="Q324" s="4">
        <f t="shared" si="244"/>
        <v>85.71477491482294</v>
      </c>
      <c r="R324" s="4">
        <f t="shared" si="245"/>
        <v>146.7067786128552</v>
      </c>
      <c r="S324" s="4">
        <f t="shared" si="249"/>
        <v>0.0968875085125448</v>
      </c>
      <c r="T324" s="5">
        <f t="shared" si="246"/>
        <v>462.7119791977971</v>
      </c>
      <c r="U324" s="4">
        <f t="shared" si="235"/>
        <v>474.0935641065351</v>
      </c>
      <c r="V324" s="4">
        <f aca="true" t="shared" si="278" ref="V324:V354">J324*S324</f>
        <v>0.12167497830026418</v>
      </c>
      <c r="W324" s="4">
        <f>SUMPRODUCT($J$4:J324,$S$34:S$354)</f>
        <v>13.587461602553997</v>
      </c>
      <c r="X324" s="6">
        <f t="shared" si="255"/>
        <v>2.8173907404681304</v>
      </c>
      <c r="Y324" s="4">
        <f t="shared" si="236"/>
        <v>2070</v>
      </c>
      <c r="Z324" s="4">
        <f t="shared" si="247"/>
        <v>320</v>
      </c>
      <c r="AA324" s="3">
        <f t="shared" si="264"/>
        <v>114.11</v>
      </c>
      <c r="AB324" s="6">
        <f t="shared" si="237"/>
        <v>220.4453745</v>
      </c>
      <c r="AC324" s="4">
        <f t="shared" si="274"/>
        <v>220.42224293614382</v>
      </c>
      <c r="AD324" s="4">
        <f t="shared" si="275"/>
        <v>8.56877327098011</v>
      </c>
      <c r="AE324" s="4">
        <f t="shared" si="252"/>
        <v>0.023131563856196635</v>
      </c>
      <c r="AF324" s="6">
        <f t="shared" si="265"/>
        <v>1888.7482236007133</v>
      </c>
      <c r="AG324" s="30">
        <f t="shared" si="250"/>
        <v>0.5837897968460453</v>
      </c>
      <c r="AH324" s="3">
        <f t="shared" si="266"/>
        <v>1.4553</v>
      </c>
      <c r="AI324" s="47">
        <f t="shared" si="238"/>
        <v>3.4303</v>
      </c>
      <c r="AJ324" s="4">
        <f t="shared" si="276"/>
        <v>2.98665025989308</v>
      </c>
      <c r="AK324" s="4">
        <f t="shared" si="256"/>
        <v>120</v>
      </c>
      <c r="AL324" s="4">
        <f t="shared" si="257"/>
        <v>0.44364974010691993</v>
      </c>
      <c r="AM324" s="4">
        <f t="shared" si="267"/>
        <v>358.3980311871696</v>
      </c>
      <c r="AN324" s="26">
        <f t="shared" si="239"/>
        <v>0.29267769659067966</v>
      </c>
      <c r="AO324" s="4">
        <f t="shared" si="240"/>
        <v>0.9775438021744404</v>
      </c>
      <c r="AP324" s="3">
        <f t="shared" si="268"/>
        <v>30</v>
      </c>
      <c r="AQ324" s="3">
        <f t="shared" si="269"/>
        <v>870</v>
      </c>
      <c r="AR324" s="21">
        <f t="shared" si="270"/>
        <v>138</v>
      </c>
      <c r="AS324" s="35">
        <f aca="true" t="shared" si="279" ref="AS324:AS354">AO324/9.58+1/68.2</f>
        <v>0.11670281945569771</v>
      </c>
      <c r="AT324" s="36">
        <f t="shared" si="271"/>
        <v>-0.022712177717937904</v>
      </c>
      <c r="AU324" s="4">
        <f t="shared" si="272"/>
        <v>34.35487777684278</v>
      </c>
      <c r="AV324" s="4">
        <f t="shared" si="258"/>
        <v>0.39290486662739665</v>
      </c>
      <c r="AW324" s="4">
        <f t="shared" si="254"/>
        <v>0.029189489842302265</v>
      </c>
      <c r="AX324" s="3">
        <f t="shared" si="273"/>
        <v>67.8</v>
      </c>
      <c r="AY324" s="36">
        <f t="shared" si="259"/>
        <v>-0.4</v>
      </c>
      <c r="AZ324" s="36">
        <f aca="true" t="shared" si="280" ref="AZ324:AZ354">-0.8*LN(($B$15+AX324)/$B$15)*(LN(($B$15+$AX$254)/$B$15))^-1</f>
        <v>-0.8000000000000002</v>
      </c>
      <c r="BA324" s="36">
        <f t="shared" si="260"/>
        <v>-0.1</v>
      </c>
      <c r="BB324" s="6">
        <f t="shared" si="253"/>
        <v>2.815952590374554</v>
      </c>
      <c r="BC324" s="6">
        <f t="shared" si="248"/>
        <v>0.017545805732366304</v>
      </c>
      <c r="BD324" s="4">
        <f t="shared" si="241"/>
        <v>0.6407084444660673</v>
      </c>
      <c r="BE324" s="4">
        <f>SUMPRODUCT(BC$4:BC324,$BD$34:BD$354)</f>
        <v>1.9301300598145439</v>
      </c>
      <c r="BF324" s="23">
        <f t="shared" si="242"/>
        <v>1.9301300598145439</v>
      </c>
      <c r="BG324" s="4">
        <f t="shared" si="261"/>
        <v>1.227488722022772</v>
      </c>
    </row>
    <row r="325" spans="5:59" ht="15">
      <c r="E325" s="1">
        <f t="shared" si="243"/>
        <v>321</v>
      </c>
      <c r="F325" s="1">
        <f aca="true" t="shared" si="281" ref="F325:F354">1750+E325</f>
        <v>2071</v>
      </c>
      <c r="G325" s="3">
        <f t="shared" si="262"/>
        <v>3.13</v>
      </c>
      <c r="H325" s="3">
        <f t="shared" si="263"/>
        <v>0.43</v>
      </c>
      <c r="I325" s="5">
        <f aca="true" t="shared" si="282" ref="I325:I354">P325/2.123</f>
        <v>0.879188634914581</v>
      </c>
      <c r="J325" s="5">
        <f t="shared" si="251"/>
        <v>1.2566461438988263</v>
      </c>
      <c r="K325" s="4">
        <f aca="true" t="shared" si="283" ref="K325:K354">G325+H325-I325-J325</f>
        <v>1.4241652211865927</v>
      </c>
      <c r="L325" s="4">
        <f aca="true" t="shared" si="284" ref="L325:L354">0.70211*EXP(-0.35*(350-E325))+0.013414*EXP(-(350-E325)/20)-0.71846*EXP(-55*(350-E325)/120)+0.0029323*EXP(-(350-E325)/100)</f>
        <v>0.005366881687655914</v>
      </c>
      <c r="M325" s="4">
        <f t="shared" si="277"/>
        <v>9.119991275661459</v>
      </c>
      <c r="N325" s="4">
        <f aca="true" t="shared" si="285" ref="N325:N354">L325*M325</f>
        <v>0.04894591416892918</v>
      </c>
      <c r="O325" s="4">
        <f>SUMPRODUCT($M$4:M325,L$33:$L$354)</f>
        <v>7.253473803737803</v>
      </c>
      <c r="P325" s="4">
        <f aca="true" t="shared" si="286" ref="P325:P354">M325-O325</f>
        <v>1.8665174719236557</v>
      </c>
      <c r="Q325" s="4">
        <f t="shared" si="244"/>
        <v>86.17903823056348</v>
      </c>
      <c r="R325" s="4">
        <f t="shared" si="245"/>
        <v>147.74168721220832</v>
      </c>
      <c r="S325" s="4">
        <f t="shared" si="249"/>
        <v>0.09846070043883584</v>
      </c>
      <c r="T325" s="5">
        <f t="shared" si="246"/>
        <v>464.1296727706705</v>
      </c>
      <c r="U325" s="4">
        <f aca="true" t="shared" si="287" ref="U325:U354">U324+K324</f>
        <v>475.51851598937924</v>
      </c>
      <c r="V325" s="4">
        <f t="shared" si="278"/>
        <v>0.12373025953204053</v>
      </c>
      <c r="W325" s="4">
        <f>SUMPRODUCT($J$4:J325,$S$33:S$354)</f>
        <v>13.660357170094027</v>
      </c>
      <c r="X325" s="6">
        <f t="shared" si="255"/>
        <v>2.8334467668286183</v>
      </c>
      <c r="Y325" s="4">
        <f aca="true" t="shared" si="288" ref="Y325:Y354">1750+Z325</f>
        <v>2071</v>
      </c>
      <c r="Z325" s="4">
        <f t="shared" si="247"/>
        <v>321</v>
      </c>
      <c r="AA325" s="3">
        <f t="shared" si="264"/>
        <v>114.11</v>
      </c>
      <c r="AB325" s="6">
        <f aca="true" t="shared" si="289" ref="AB325:AB354">AA325+$B$16</f>
        <v>220.4453745</v>
      </c>
      <c r="AC325" s="4">
        <f t="shared" si="274"/>
        <v>220.42418714092562</v>
      </c>
      <c r="AD325" s="4">
        <f t="shared" si="275"/>
        <v>8.568802633065879</v>
      </c>
      <c r="AE325" s="4">
        <f t="shared" si="252"/>
        <v>0.021187359074389178</v>
      </c>
      <c r="AF325" s="6">
        <f t="shared" si="265"/>
        <v>1888.7713551645695</v>
      </c>
      <c r="AG325" s="30">
        <f t="shared" si="250"/>
        <v>0.5837993773672419</v>
      </c>
      <c r="AH325" s="3">
        <f t="shared" si="266"/>
        <v>1.4553</v>
      </c>
      <c r="AI325" s="47">
        <f aca="true" t="shared" si="290" ref="AI325:AI354">AH325+$B$17</f>
        <v>3.4303</v>
      </c>
      <c r="AJ325" s="4">
        <f t="shared" si="276"/>
        <v>2.990347341060638</v>
      </c>
      <c r="AK325" s="4">
        <f t="shared" si="256"/>
        <v>120</v>
      </c>
      <c r="AL325" s="4">
        <f t="shared" si="257"/>
        <v>0.4399526589393621</v>
      </c>
      <c r="AM325" s="4">
        <f t="shared" si="267"/>
        <v>358.8416809272765</v>
      </c>
      <c r="AN325" s="26">
        <f aca="true" t="shared" si="291" ref="AN325:AN354">0.12*(SQRT(AM325)-SQRT($B$13))</f>
        <v>0.29408333733301817</v>
      </c>
      <c r="AO325" s="4">
        <f aca="true" t="shared" si="292" ref="AO325:AO354">EXP(AT325)</f>
        <v>0.9775399711614846</v>
      </c>
      <c r="AP325" s="3">
        <f t="shared" si="268"/>
        <v>30</v>
      </c>
      <c r="AQ325" s="3">
        <f t="shared" si="269"/>
        <v>870</v>
      </c>
      <c r="AR325" s="21">
        <f t="shared" si="270"/>
        <v>138</v>
      </c>
      <c r="AS325" s="35">
        <f t="shared" si="279"/>
        <v>0.11670241955872947</v>
      </c>
      <c r="AT325" s="36">
        <f t="shared" si="271"/>
        <v>-0.022716096744844143</v>
      </c>
      <c r="AU325" s="4">
        <f t="shared" si="272"/>
        <v>34.35493901163819</v>
      </c>
      <c r="AV325" s="4">
        <f t="shared" si="258"/>
        <v>0.3929074384888039</v>
      </c>
      <c r="AW325" s="4">
        <f t="shared" si="254"/>
        <v>0.029189968868362094</v>
      </c>
      <c r="AX325" s="3">
        <f t="shared" si="273"/>
        <v>67.8</v>
      </c>
      <c r="AY325" s="36">
        <f t="shared" si="259"/>
        <v>-0.4</v>
      </c>
      <c r="AZ325" s="36">
        <f t="shared" si="280"/>
        <v>-0.8000000000000002</v>
      </c>
      <c r="BA325" s="36">
        <f t="shared" si="260"/>
        <v>-0.1</v>
      </c>
      <c r="BB325" s="6">
        <f t="shared" si="253"/>
        <v>2.833426888886044</v>
      </c>
      <c r="BC325" s="6">
        <f t="shared" si="248"/>
        <v>0.017474298511490183</v>
      </c>
      <c r="BD325" s="4">
        <f aca="true" t="shared" si="293" ref="BD325:BD354">0.29*(1-EXP(-(350-E325)/440))+0.71*(1-EXP(-(350-E325)/14.4))</f>
        <v>0.633734648592996</v>
      </c>
      <c r="BE325" s="4">
        <f>SUMPRODUCT(BC$4:BC325,$BD$33:BD$354)</f>
        <v>1.9451250106944706</v>
      </c>
      <c r="BF325" s="23">
        <f aca="true" t="shared" si="294" ref="BF325:BF354">BE325*$B$7</f>
        <v>1.9451250106944706</v>
      </c>
      <c r="BG325" s="4">
        <f t="shared" si="261"/>
        <v>1.2424836729026987</v>
      </c>
    </row>
    <row r="326" spans="5:59" ht="15">
      <c r="E326" s="1">
        <f aca="true" t="shared" si="295" ref="E326:E354">E325+1</f>
        <v>322</v>
      </c>
      <c r="F326" s="1">
        <f t="shared" si="281"/>
        <v>2072</v>
      </c>
      <c r="G326" s="3">
        <f t="shared" si="262"/>
        <v>3.13</v>
      </c>
      <c r="H326" s="3">
        <f t="shared" si="263"/>
        <v>0.43</v>
      </c>
      <c r="I326" s="5">
        <f t="shared" si="282"/>
        <v>0.8791451872141962</v>
      </c>
      <c r="J326" s="5">
        <f t="shared" si="251"/>
        <v>1.2574400907010688</v>
      </c>
      <c r="K326" s="4">
        <f t="shared" si="283"/>
        <v>1.4234147220847353</v>
      </c>
      <c r="L326" s="4">
        <f t="shared" si="284"/>
        <v>0.005561050984216089</v>
      </c>
      <c r="M326" s="4">
        <f t="shared" si="277"/>
        <v>9.171487637839114</v>
      </c>
      <c r="N326" s="4">
        <f t="shared" si="285"/>
        <v>0.0510031103551309</v>
      </c>
      <c r="O326" s="4">
        <f>SUMPRODUCT($M$4:M326,L$32:$L$354)</f>
        <v>7.305062405383375</v>
      </c>
      <c r="P326" s="4">
        <f t="shared" si="286"/>
        <v>1.8664252324557387</v>
      </c>
      <c r="Q326" s="4">
        <f aca="true" t="shared" si="296" ref="Q326:Q354">($B$5/($B$4*$B$6))*W325</f>
        <v>86.64138138822068</v>
      </c>
      <c r="R326" s="4">
        <f aca="true" t="shared" si="297" ref="R326:R354">(1.558-1.399*$B$3*0.01)*Q326+(7.4706-0.20207*$B$3)*0.001*Q326^2-(1.2748-0.12015*$B$3)*0.00001*Q326^3+(2.4491-0.12639*$B$3)*0.0000001*Q326^4-(1.5468-0.15326*$B$3)*0.0000000001*Q326^5</f>
        <v>148.77557524423014</v>
      </c>
      <c r="S326" s="4">
        <f t="shared" si="249"/>
        <v>0.1001143491831929</v>
      </c>
      <c r="T326" s="5">
        <f aca="true" t="shared" si="298" ref="T326:T354">($T$4+R326)*EXP(0.0423*BF325)</f>
        <v>465.5467099857712</v>
      </c>
      <c r="U326" s="4">
        <f t="shared" si="287"/>
        <v>476.9426812105658</v>
      </c>
      <c r="V326" s="4">
        <f t="shared" si="278"/>
        <v>0.12588779631739255</v>
      </c>
      <c r="W326" s="4">
        <f>SUMPRODUCT($J$4:J326,$S$32:S$354)</f>
        <v>13.732953457424504</v>
      </c>
      <c r="X326" s="6">
        <f t="shared" si="255"/>
        <v>2.8494459269709207</v>
      </c>
      <c r="Y326" s="4">
        <f t="shared" si="288"/>
        <v>2072</v>
      </c>
      <c r="Z326" s="4">
        <f aca="true" t="shared" si="299" ref="Z326:Z354">Z325+1</f>
        <v>322</v>
      </c>
      <c r="AA326" s="3">
        <f t="shared" si="264"/>
        <v>114.11</v>
      </c>
      <c r="AB326" s="6">
        <f t="shared" si="289"/>
        <v>220.4453745</v>
      </c>
      <c r="AC326" s="4">
        <f t="shared" si="274"/>
        <v>220.4259679300418</v>
      </c>
      <c r="AD326" s="4">
        <f t="shared" si="275"/>
        <v>8.568829527032422</v>
      </c>
      <c r="AE326" s="4">
        <f t="shared" si="252"/>
        <v>0.019406569958221098</v>
      </c>
      <c r="AF326" s="6">
        <f t="shared" si="265"/>
        <v>1888.792542523644</v>
      </c>
      <c r="AG326" s="30">
        <f t="shared" si="250"/>
        <v>0.5838081525954644</v>
      </c>
      <c r="AH326" s="3">
        <f t="shared" si="266"/>
        <v>1.4553</v>
      </c>
      <c r="AI326" s="47">
        <f t="shared" si="290"/>
        <v>3.4303</v>
      </c>
      <c r="AJ326" s="4">
        <f t="shared" si="276"/>
        <v>2.9940136132184656</v>
      </c>
      <c r="AK326" s="4">
        <f t="shared" si="256"/>
        <v>120</v>
      </c>
      <c r="AL326" s="4">
        <f t="shared" si="257"/>
        <v>0.4362863867815343</v>
      </c>
      <c r="AM326" s="4">
        <f t="shared" si="267"/>
        <v>359.2816335862159</v>
      </c>
      <c r="AN326" s="26">
        <f t="shared" si="291"/>
        <v>0.29547640657056545</v>
      </c>
      <c r="AO326" s="4">
        <f t="shared" si="292"/>
        <v>0.9775364621989863</v>
      </c>
      <c r="AP326" s="3">
        <f t="shared" si="268"/>
        <v>30</v>
      </c>
      <c r="AQ326" s="3">
        <f t="shared" si="269"/>
        <v>870</v>
      </c>
      <c r="AR326" s="21">
        <f t="shared" si="270"/>
        <v>138</v>
      </c>
      <c r="AS326" s="35">
        <f t="shared" si="279"/>
        <v>0.1167020532787192</v>
      </c>
      <c r="AT326" s="36">
        <f t="shared" si="271"/>
        <v>-0.02271968633596031</v>
      </c>
      <c r="AU326" s="4">
        <f t="shared" si="272"/>
        <v>34.35499509899938</v>
      </c>
      <c r="AV326" s="4">
        <f t="shared" si="258"/>
        <v>0.39290979415797406</v>
      </c>
      <c r="AW326" s="4">
        <f t="shared" si="254"/>
        <v>0.02919040762977322</v>
      </c>
      <c r="AX326" s="3">
        <f t="shared" si="273"/>
        <v>67.8</v>
      </c>
      <c r="AY326" s="36">
        <f t="shared" si="259"/>
        <v>-0.4</v>
      </c>
      <c r="AZ326" s="36">
        <f t="shared" si="280"/>
        <v>-0.8000000000000002</v>
      </c>
      <c r="BA326" s="36">
        <f t="shared" si="260"/>
        <v>-0.1</v>
      </c>
      <c r="BB326" s="6">
        <f t="shared" si="253"/>
        <v>2.850830687924698</v>
      </c>
      <c r="BC326" s="6">
        <f aca="true" t="shared" si="300" ref="BC326:BC354">BB326-BB325</f>
        <v>0.017403799038653744</v>
      </c>
      <c r="BD326" s="4">
        <f t="shared" si="293"/>
        <v>0.6263022705025295</v>
      </c>
      <c r="BE326" s="4">
        <f>SUMPRODUCT(BC$4:BC326,$BD$32:BD$354)</f>
        <v>1.9600617543478633</v>
      </c>
      <c r="BF326" s="23">
        <f t="shared" si="294"/>
        <v>1.9600617543478633</v>
      </c>
      <c r="BG326" s="4">
        <f t="shared" si="261"/>
        <v>1.2574204165560914</v>
      </c>
    </row>
    <row r="327" spans="5:59" ht="15">
      <c r="E327" s="1">
        <f t="shared" si="295"/>
        <v>323</v>
      </c>
      <c r="F327" s="1">
        <f t="shared" si="281"/>
        <v>2073</v>
      </c>
      <c r="G327" s="3">
        <f t="shared" si="262"/>
        <v>3.13</v>
      </c>
      <c r="H327" s="3">
        <f t="shared" si="263"/>
        <v>0.43</v>
      </c>
      <c r="I327" s="5">
        <f t="shared" si="282"/>
        <v>0.8790806819852345</v>
      </c>
      <c r="J327" s="5">
        <f t="shared" si="251"/>
        <v>1.258219785242124</v>
      </c>
      <c r="K327" s="4">
        <f t="shared" si="283"/>
        <v>1.4226995327726415</v>
      </c>
      <c r="L327" s="4">
        <f t="shared" si="284"/>
        <v>0.005768121328492408</v>
      </c>
      <c r="M327" s="4">
        <f t="shared" si="277"/>
        <v>9.222803443241522</v>
      </c>
      <c r="N327" s="4">
        <f t="shared" si="285"/>
        <v>0.05319824924945465</v>
      </c>
      <c r="O327" s="4">
        <f>SUMPRODUCT($M$4:M327,L$31:$L$354)</f>
        <v>7.3565151553868695</v>
      </c>
      <c r="P327" s="4">
        <f t="shared" si="286"/>
        <v>1.866288287854653</v>
      </c>
      <c r="Q327" s="4">
        <f t="shared" si="296"/>
        <v>87.10182634874768</v>
      </c>
      <c r="R327" s="4">
        <f t="shared" si="297"/>
        <v>149.8084653923099</v>
      </c>
      <c r="S327" s="4">
        <f t="shared" si="249"/>
        <v>0.10185579407661444</v>
      </c>
      <c r="T327" s="5">
        <f t="shared" si="298"/>
        <v>466.96312464885784</v>
      </c>
      <c r="U327" s="4">
        <f t="shared" si="287"/>
        <v>478.3660959326505</v>
      </c>
      <c r="V327" s="4">
        <f t="shared" si="278"/>
        <v>0.12815697534874382</v>
      </c>
      <c r="W327" s="4">
        <f>SUMPRODUCT($J$4:J327,$S$31:S$354)</f>
        <v>13.805253860040438</v>
      </c>
      <c r="X327" s="6">
        <f t="shared" si="255"/>
        <v>2.8653889907864194</v>
      </c>
      <c r="Y327" s="4">
        <f t="shared" si="288"/>
        <v>2073</v>
      </c>
      <c r="Z327" s="4">
        <f t="shared" si="299"/>
        <v>323</v>
      </c>
      <c r="AA327" s="3">
        <f t="shared" si="264"/>
        <v>114.11</v>
      </c>
      <c r="AB327" s="6">
        <f t="shared" si="289"/>
        <v>220.4453745</v>
      </c>
      <c r="AC327" s="4">
        <f t="shared" si="274"/>
        <v>220.42759903990955</v>
      </c>
      <c r="AD327" s="4">
        <f t="shared" si="275"/>
        <v>8.568854160370467</v>
      </c>
      <c r="AE327" s="4">
        <f t="shared" si="252"/>
        <v>0.017775460090462047</v>
      </c>
      <c r="AF327" s="6">
        <f t="shared" si="265"/>
        <v>1888.8119490936022</v>
      </c>
      <c r="AG327" s="30">
        <f t="shared" si="250"/>
        <v>0.5838161902260534</v>
      </c>
      <c r="AH327" s="3">
        <f t="shared" si="266"/>
        <v>1.4553</v>
      </c>
      <c r="AI327" s="47">
        <f t="shared" si="290"/>
        <v>3.4303</v>
      </c>
      <c r="AJ327" s="4">
        <f t="shared" si="276"/>
        <v>2.997649333108312</v>
      </c>
      <c r="AK327" s="4">
        <f t="shared" si="256"/>
        <v>120</v>
      </c>
      <c r="AL327" s="4">
        <f t="shared" si="257"/>
        <v>0.43265066689168785</v>
      </c>
      <c r="AM327" s="4">
        <f t="shared" si="267"/>
        <v>359.71791997299744</v>
      </c>
      <c r="AN327" s="26">
        <f t="shared" si="291"/>
        <v>0.29685702485257875</v>
      </c>
      <c r="AO327" s="4">
        <f t="shared" si="292"/>
        <v>0.9775332482089825</v>
      </c>
      <c r="AP327" s="3">
        <f t="shared" si="268"/>
        <v>30</v>
      </c>
      <c r="AQ327" s="3">
        <f t="shared" si="269"/>
        <v>870</v>
      </c>
      <c r="AR327" s="21">
        <f t="shared" si="270"/>
        <v>138</v>
      </c>
      <c r="AS327" s="35">
        <f t="shared" si="279"/>
        <v>0.11670171778915722</v>
      </c>
      <c r="AT327" s="36">
        <f t="shared" si="271"/>
        <v>-0.02272297418803715</v>
      </c>
      <c r="AU327" s="4">
        <f t="shared" si="272"/>
        <v>34.355046471688084</v>
      </c>
      <c r="AV327" s="4">
        <f t="shared" si="258"/>
        <v>0.39291195181089955</v>
      </c>
      <c r="AW327" s="4">
        <f t="shared" si="254"/>
        <v>0.029190809511302672</v>
      </c>
      <c r="AX327" s="3">
        <f t="shared" si="273"/>
        <v>67.8</v>
      </c>
      <c r="AY327" s="36">
        <f t="shared" si="259"/>
        <v>-0.4</v>
      </c>
      <c r="AZ327" s="36">
        <f t="shared" si="280"/>
        <v>-0.8000000000000002</v>
      </c>
      <c r="BA327" s="36">
        <f t="shared" si="260"/>
        <v>-0.1</v>
      </c>
      <c r="BB327" s="6">
        <f t="shared" si="253"/>
        <v>2.8681649671872536</v>
      </c>
      <c r="BC327" s="6">
        <f t="shared" si="300"/>
        <v>0.017334279262555707</v>
      </c>
      <c r="BD327" s="4">
        <f t="shared" si="293"/>
        <v>0.618378430055423</v>
      </c>
      <c r="BE327" s="4">
        <f>SUMPRODUCT(BC$4:BC327,$BD$31:BD$354)</f>
        <v>1.9749413010467276</v>
      </c>
      <c r="BF327" s="23">
        <f t="shared" si="294"/>
        <v>1.9749413010467276</v>
      </c>
      <c r="BG327" s="4">
        <f t="shared" si="261"/>
        <v>1.2722999632549556</v>
      </c>
    </row>
    <row r="328" spans="5:59" ht="15">
      <c r="E328" s="1">
        <f t="shared" si="295"/>
        <v>324</v>
      </c>
      <c r="F328" s="1">
        <f t="shared" si="281"/>
        <v>2074</v>
      </c>
      <c r="G328" s="3">
        <f t="shared" si="262"/>
        <v>3.13</v>
      </c>
      <c r="H328" s="3">
        <f t="shared" si="263"/>
        <v>0.43</v>
      </c>
      <c r="I328" s="5">
        <f t="shared" si="282"/>
        <v>0.878995632477736</v>
      </c>
      <c r="J328" s="5">
        <f t="shared" si="251"/>
        <v>1.2589854773301654</v>
      </c>
      <c r="K328" s="4">
        <f t="shared" si="283"/>
        <v>1.4220188901920985</v>
      </c>
      <c r="L328" s="4">
        <f t="shared" si="284"/>
        <v>0.005990299720102416</v>
      </c>
      <c r="M328" s="4">
        <f t="shared" si="277"/>
        <v>9.273941112482198</v>
      </c>
      <c r="N328" s="4">
        <f t="shared" si="285"/>
        <v>0.0555536868503484</v>
      </c>
      <c r="O328" s="4">
        <f>SUMPRODUCT($M$4:M328,L$30:$L$354)</f>
        <v>7.407833384731965</v>
      </c>
      <c r="P328" s="4">
        <f t="shared" si="286"/>
        <v>1.8661077277502338</v>
      </c>
      <c r="Q328" s="4">
        <f t="shared" si="296"/>
        <v>87.56039464821228</v>
      </c>
      <c r="R328" s="4">
        <f t="shared" si="297"/>
        <v>150.84037989821678</v>
      </c>
      <c r="S328" s="4">
        <f aca="true" t="shared" si="301" ref="S328:S351">0.022936+0.24278*EXP(-(350-E328)/1.2679)+0.13963*EXP(-(350-E328)/5.2528)+0.089318*EXP(-(350-E328)/18.601)+0.03782*EXP(-(350-E328)/68.736)+0.035549*EXP(-(350-E328)/232.3)</f>
        <v>0.10369343466976055</v>
      </c>
      <c r="T328" s="5">
        <f t="shared" si="298"/>
        <v>468.37894989999324</v>
      </c>
      <c r="U328" s="4">
        <f t="shared" si="287"/>
        <v>479.78879546542316</v>
      </c>
      <c r="V328" s="4">
        <f t="shared" si="278"/>
        <v>0.1305485283437128</v>
      </c>
      <c r="W328" s="4">
        <f>SUMPRODUCT($J$4:J328,$S$30:S$354)</f>
        <v>13.87726164413828</v>
      </c>
      <c r="X328" s="6">
        <f t="shared" si="255"/>
        <v>2.8812767103240278</v>
      </c>
      <c r="Y328" s="4">
        <f t="shared" si="288"/>
        <v>2074</v>
      </c>
      <c r="Z328" s="4">
        <f t="shared" si="299"/>
        <v>324</v>
      </c>
      <c r="AA328" s="3">
        <f t="shared" si="264"/>
        <v>114.11</v>
      </c>
      <c r="AB328" s="6">
        <f t="shared" si="289"/>
        <v>220.4453745</v>
      </c>
      <c r="AC328" s="4">
        <f t="shared" si="274"/>
        <v>220.4290930521451</v>
      </c>
      <c r="AD328" s="4">
        <f t="shared" si="275"/>
        <v>8.568876723123239</v>
      </c>
      <c r="AE328" s="4">
        <f t="shared" si="252"/>
        <v>0.016281447854908038</v>
      </c>
      <c r="AF328" s="6">
        <f t="shared" si="265"/>
        <v>1888.8297245536926</v>
      </c>
      <c r="AG328" s="30">
        <f aca="true" t="shared" si="302" ref="AG328:AG354">0.036*(SQRT(AF328)-SQRT($B$12))</f>
        <v>0.5838235522626698</v>
      </c>
      <c r="AH328" s="3">
        <f t="shared" si="266"/>
        <v>1.4553</v>
      </c>
      <c r="AI328" s="47">
        <f t="shared" si="290"/>
        <v>3.4303</v>
      </c>
      <c r="AJ328" s="4">
        <f t="shared" si="276"/>
        <v>3.0012547553324094</v>
      </c>
      <c r="AK328" s="4">
        <f t="shared" si="256"/>
        <v>120</v>
      </c>
      <c r="AL328" s="4">
        <f t="shared" si="257"/>
        <v>0.42904524466759053</v>
      </c>
      <c r="AM328" s="4">
        <f t="shared" si="267"/>
        <v>360.1505706398891</v>
      </c>
      <c r="AN328" s="26">
        <f t="shared" si="291"/>
        <v>0.29822531141871833</v>
      </c>
      <c r="AO328" s="4">
        <f t="shared" si="292"/>
        <v>0.9775303043910426</v>
      </c>
      <c r="AP328" s="3">
        <f t="shared" si="268"/>
        <v>30</v>
      </c>
      <c r="AQ328" s="3">
        <f t="shared" si="269"/>
        <v>870</v>
      </c>
      <c r="AR328" s="21">
        <f t="shared" si="270"/>
        <v>138</v>
      </c>
      <c r="AS328" s="35">
        <f t="shared" si="279"/>
        <v>0.11670141050127206</v>
      </c>
      <c r="AT328" s="36">
        <f t="shared" si="271"/>
        <v>-0.022725985668595867</v>
      </c>
      <c r="AU328" s="4">
        <f t="shared" si="272"/>
        <v>34.35509352607181</v>
      </c>
      <c r="AV328" s="4">
        <f t="shared" si="258"/>
        <v>0.39291392809501613</v>
      </c>
      <c r="AW328" s="4">
        <f t="shared" si="254"/>
        <v>0.029191177613133494</v>
      </c>
      <c r="AX328" s="3">
        <f t="shared" si="273"/>
        <v>67.8</v>
      </c>
      <c r="AY328" s="36">
        <f t="shared" si="259"/>
        <v>-0.4</v>
      </c>
      <c r="AZ328" s="36">
        <f t="shared" si="280"/>
        <v>-0.8000000000000002</v>
      </c>
      <c r="BA328" s="36">
        <f t="shared" si="260"/>
        <v>-0.1</v>
      </c>
      <c r="BB328" s="6">
        <f t="shared" si="253"/>
        <v>2.8854306797135654</v>
      </c>
      <c r="BC328" s="6">
        <f t="shared" si="300"/>
        <v>0.017265712526311816</v>
      </c>
      <c r="BD328" s="4">
        <f t="shared" si="293"/>
        <v>0.6099278828413306</v>
      </c>
      <c r="BE328" s="4">
        <f>SUMPRODUCT(BC$4:BC328,$BD$30:BD$354)</f>
        <v>1.989764636430717</v>
      </c>
      <c r="BF328" s="23">
        <f t="shared" si="294"/>
        <v>1.989764636430717</v>
      </c>
      <c r="BG328" s="4">
        <f t="shared" si="261"/>
        <v>1.2871232986389451</v>
      </c>
    </row>
    <row r="329" spans="5:59" ht="15">
      <c r="E329" s="1">
        <f t="shared" si="295"/>
        <v>325</v>
      </c>
      <c r="F329" s="1">
        <f t="shared" si="281"/>
        <v>2075</v>
      </c>
      <c r="G329" s="3">
        <f t="shared" si="262"/>
        <v>3.13</v>
      </c>
      <c r="H329" s="3">
        <f t="shared" si="263"/>
        <v>0.43</v>
      </c>
      <c r="I329" s="5">
        <f t="shared" si="282"/>
        <v>0.8788905370438258</v>
      </c>
      <c r="J329" s="5">
        <f t="shared" si="251"/>
        <v>1.2597374556730743</v>
      </c>
      <c r="K329" s="4">
        <f t="shared" si="283"/>
        <v>1.4213720072830998</v>
      </c>
      <c r="L329" s="4">
        <f t="shared" si="284"/>
        <v>0.00623052243598441</v>
      </c>
      <c r="M329" s="4">
        <f t="shared" si="277"/>
        <v>9.324903012801881</v>
      </c>
      <c r="N329" s="4">
        <f t="shared" si="285"/>
        <v>0.058099017434640736</v>
      </c>
      <c r="O329" s="4">
        <f>SUMPRODUCT($M$4:M329,L$29:$L$354)</f>
        <v>7.459018402657839</v>
      </c>
      <c r="P329" s="4">
        <f t="shared" si="286"/>
        <v>1.8658846101440423</v>
      </c>
      <c r="Q329" s="4">
        <f t="shared" si="296"/>
        <v>88.01710700260081</v>
      </c>
      <c r="R329" s="4">
        <f t="shared" si="297"/>
        <v>151.87133965464318</v>
      </c>
      <c r="S329" s="4">
        <f t="shared" si="301"/>
        <v>0.10563692727604305</v>
      </c>
      <c r="T329" s="5">
        <f t="shared" si="298"/>
        <v>469.79421722424905</v>
      </c>
      <c r="U329" s="4">
        <f t="shared" si="287"/>
        <v>481.21081435561524</v>
      </c>
      <c r="V329" s="4">
        <f t="shared" si="278"/>
        <v>0.13307479399184405</v>
      </c>
      <c r="W329" s="4">
        <f>SUMPRODUCT($J$4:J329,$S$29:S$354)</f>
        <v>13.948980031689352</v>
      </c>
      <c r="X329" s="6">
        <f t="shared" si="255"/>
        <v>2.8971098210505266</v>
      </c>
      <c r="Y329" s="4">
        <f t="shared" si="288"/>
        <v>2075</v>
      </c>
      <c r="Z329" s="4">
        <f t="shared" si="299"/>
        <v>325</v>
      </c>
      <c r="AA329" s="3">
        <f t="shared" si="264"/>
        <v>114.11</v>
      </c>
      <c r="AB329" s="6">
        <f t="shared" si="289"/>
        <v>220.4453745</v>
      </c>
      <c r="AC329" s="4">
        <f t="shared" si="274"/>
        <v>220.43046149066944</v>
      </c>
      <c r="AD329" s="4">
        <f t="shared" si="275"/>
        <v>8.56889738935424</v>
      </c>
      <c r="AE329" s="4">
        <f t="shared" si="252"/>
        <v>0.014913009330570048</v>
      </c>
      <c r="AF329" s="6">
        <f t="shared" si="265"/>
        <v>1888.8460060015475</v>
      </c>
      <c r="AG329" s="30">
        <f t="shared" si="302"/>
        <v>0.5838302954960013</v>
      </c>
      <c r="AH329" s="3">
        <f t="shared" si="266"/>
        <v>1.4553</v>
      </c>
      <c r="AI329" s="47">
        <f t="shared" si="290"/>
        <v>3.4303</v>
      </c>
      <c r="AJ329" s="4">
        <f t="shared" si="276"/>
        <v>3.0048301323713056</v>
      </c>
      <c r="AK329" s="4">
        <f t="shared" si="256"/>
        <v>120</v>
      </c>
      <c r="AL329" s="4">
        <f t="shared" si="257"/>
        <v>0.4254698676286943</v>
      </c>
      <c r="AM329" s="4">
        <f t="shared" si="267"/>
        <v>360.5796158845567</v>
      </c>
      <c r="AN329" s="26">
        <f t="shared" si="291"/>
        <v>0.29958138421625874</v>
      </c>
      <c r="AO329" s="4">
        <f t="shared" si="292"/>
        <v>0.9775276080305733</v>
      </c>
      <c r="AP329" s="3">
        <f t="shared" si="268"/>
        <v>30</v>
      </c>
      <c r="AQ329" s="3">
        <f t="shared" si="269"/>
        <v>870</v>
      </c>
      <c r="AR329" s="21">
        <f t="shared" si="270"/>
        <v>138</v>
      </c>
      <c r="AS329" s="35">
        <f t="shared" si="279"/>
        <v>0.11670112904402057</v>
      </c>
      <c r="AT329" s="36">
        <f t="shared" si="271"/>
        <v>-0.02272874401191873</v>
      </c>
      <c r="AU329" s="4">
        <f t="shared" si="272"/>
        <v>34.35513662518623</v>
      </c>
      <c r="AV329" s="4">
        <f t="shared" si="258"/>
        <v>0.39291573825782183</v>
      </c>
      <c r="AW329" s="4">
        <f t="shared" si="254"/>
        <v>0.029191514774800066</v>
      </c>
      <c r="AX329" s="3">
        <f t="shared" si="273"/>
        <v>67.8</v>
      </c>
      <c r="AY329" s="36">
        <f t="shared" si="259"/>
        <v>-0.4</v>
      </c>
      <c r="AZ329" s="36">
        <f t="shared" si="280"/>
        <v>-0.8000000000000002</v>
      </c>
      <c r="BA329" s="36">
        <f t="shared" si="260"/>
        <v>-0.1</v>
      </c>
      <c r="BB329" s="6">
        <f t="shared" si="253"/>
        <v>2.9026287537954083</v>
      </c>
      <c r="BC329" s="6">
        <f t="shared" si="300"/>
        <v>0.01719807408184293</v>
      </c>
      <c r="BD329" s="4">
        <f t="shared" si="293"/>
        <v>0.6009128501586447</v>
      </c>
      <c r="BE329" s="4">
        <f>SUMPRODUCT(BC$4:BC329,$BD$29:BD$354)</f>
        <v>2.004532721923651</v>
      </c>
      <c r="BF329" s="23">
        <f t="shared" si="294"/>
        <v>2.004532721923651</v>
      </c>
      <c r="BG329" s="4">
        <f t="shared" si="261"/>
        <v>1.3018913841318789</v>
      </c>
    </row>
    <row r="330" spans="5:59" ht="15">
      <c r="E330" s="1">
        <f t="shared" si="295"/>
        <v>326</v>
      </c>
      <c r="F330" s="1">
        <f t="shared" si="281"/>
        <v>2076</v>
      </c>
      <c r="G330" s="3">
        <f t="shared" si="262"/>
        <v>3.13</v>
      </c>
      <c r="H330" s="3">
        <f t="shared" si="263"/>
        <v>0.43</v>
      </c>
      <c r="I330" s="5">
        <f t="shared" si="282"/>
        <v>0.8787658789917682</v>
      </c>
      <c r="J330" s="5">
        <f t="shared" si="251"/>
        <v>1.260476034501389</v>
      </c>
      <c r="K330" s="4">
        <f t="shared" si="283"/>
        <v>1.4207580865068428</v>
      </c>
      <c r="L330" s="4">
        <f t="shared" si="284"/>
        <v>0.0064927301286251855</v>
      </c>
      <c r="M330" s="4">
        <f t="shared" si="277"/>
        <v>9.375691457994735</v>
      </c>
      <c r="N330" s="4">
        <f t="shared" si="285"/>
        <v>0.06087383440601621</v>
      </c>
      <c r="O330" s="4">
        <f>SUMPRODUCT($M$4:M330,L$28:$L$354)</f>
        <v>7.510071496895211</v>
      </c>
      <c r="P330" s="4">
        <f t="shared" si="286"/>
        <v>1.865619961099524</v>
      </c>
      <c r="Q330" s="4">
        <f t="shared" si="296"/>
        <v>88.47198384739987</v>
      </c>
      <c r="R330" s="4">
        <f t="shared" si="297"/>
        <v>152.9013654010287</v>
      </c>
      <c r="S330" s="4">
        <f t="shared" si="301"/>
        <v>0.10769742134538313</v>
      </c>
      <c r="T330" s="5">
        <f t="shared" si="298"/>
        <v>471.20895774909934</v>
      </c>
      <c r="U330" s="4">
        <f t="shared" si="287"/>
        <v>482.6321863628983</v>
      </c>
      <c r="V330" s="4">
        <f t="shared" si="278"/>
        <v>0.13575001858345376</v>
      </c>
      <c r="W330" s="4">
        <f>SUMPRODUCT($J$4:J330,$S$28:S$354)</f>
        <v>14.020412213505937</v>
      </c>
      <c r="X330" s="6">
        <f t="shared" si="255"/>
        <v>2.9128890418276328</v>
      </c>
      <c r="Y330" s="4">
        <f t="shared" si="288"/>
        <v>2076</v>
      </c>
      <c r="Z330" s="4">
        <f t="shared" si="299"/>
        <v>326</v>
      </c>
      <c r="AA330" s="3">
        <f t="shared" si="264"/>
        <v>114.11</v>
      </c>
      <c r="AB330" s="6">
        <f t="shared" si="289"/>
        <v>220.4453745</v>
      </c>
      <c r="AC330" s="4">
        <f t="shared" si="274"/>
        <v>220.4317149106445</v>
      </c>
      <c r="AD330" s="4">
        <f t="shared" si="275"/>
        <v>8.568916318491455</v>
      </c>
      <c r="AE330" s="4">
        <f t="shared" si="252"/>
        <v>0.01365958935551248</v>
      </c>
      <c r="AF330" s="6">
        <f t="shared" si="265"/>
        <v>1888.860919010878</v>
      </c>
      <c r="AG330" s="30">
        <f t="shared" si="302"/>
        <v>0.5838364719421805</v>
      </c>
      <c r="AH330" s="3">
        <f t="shared" si="266"/>
        <v>1.4553</v>
      </c>
      <c r="AI330" s="47">
        <f t="shared" si="290"/>
        <v>3.4303</v>
      </c>
      <c r="AJ330" s="4">
        <f t="shared" si="276"/>
        <v>3.0083757146015446</v>
      </c>
      <c r="AK330" s="4">
        <f t="shared" si="256"/>
        <v>120</v>
      </c>
      <c r="AL330" s="4">
        <f t="shared" si="257"/>
        <v>0.4219242853984553</v>
      </c>
      <c r="AM330" s="4">
        <f t="shared" si="267"/>
        <v>361.0050857521854</v>
      </c>
      <c r="AN330" s="26">
        <f t="shared" si="291"/>
        <v>0.30092535991701824</v>
      </c>
      <c r="AO330" s="4">
        <f t="shared" si="292"/>
        <v>0.9775251383232783</v>
      </c>
      <c r="AP330" s="3">
        <f t="shared" si="268"/>
        <v>30</v>
      </c>
      <c r="AQ330" s="3">
        <f t="shared" si="269"/>
        <v>870</v>
      </c>
      <c r="AR330" s="21">
        <f t="shared" si="270"/>
        <v>138</v>
      </c>
      <c r="AS330" s="35">
        <f t="shared" si="279"/>
        <v>0.1167008712457643</v>
      </c>
      <c r="AT330" s="36">
        <f t="shared" si="271"/>
        <v>-0.0227312704985311</v>
      </c>
      <c r="AU330" s="4">
        <f t="shared" si="272"/>
        <v>34.35517610153955</v>
      </c>
      <c r="AV330" s="4">
        <f t="shared" si="258"/>
        <v>0.39291739626466105</v>
      </c>
      <c r="AW330" s="4">
        <f t="shared" si="254"/>
        <v>0.029191823597109028</v>
      </c>
      <c r="AX330" s="3">
        <f t="shared" si="273"/>
        <v>67.8</v>
      </c>
      <c r="AY330" s="36">
        <f t="shared" si="259"/>
        <v>-0.4</v>
      </c>
      <c r="AZ330" s="36">
        <f t="shared" si="280"/>
        <v>-0.8000000000000002</v>
      </c>
      <c r="BA330" s="36">
        <f t="shared" si="260"/>
        <v>-0.1</v>
      </c>
      <c r="BB330" s="6">
        <f t="shared" si="253"/>
        <v>2.919760093548601</v>
      </c>
      <c r="BC330" s="6">
        <f t="shared" si="300"/>
        <v>0.017131339753192698</v>
      </c>
      <c r="BD330" s="4">
        <f t="shared" si="293"/>
        <v>0.5912928367677593</v>
      </c>
      <c r="BE330" s="4">
        <f>SUMPRODUCT(BC$4:BC330,$BD$28:BD$354)</f>
        <v>2.019246495213009</v>
      </c>
      <c r="BF330" s="23">
        <f t="shared" si="294"/>
        <v>2.019246495213009</v>
      </c>
      <c r="BG330" s="4">
        <f t="shared" si="261"/>
        <v>1.3166051574212372</v>
      </c>
    </row>
    <row r="331" spans="5:59" ht="15">
      <c r="E331" s="1">
        <f t="shared" si="295"/>
        <v>327</v>
      </c>
      <c r="F331" s="1">
        <f t="shared" si="281"/>
        <v>2077</v>
      </c>
      <c r="G331" s="3">
        <f t="shared" si="262"/>
        <v>3.13</v>
      </c>
      <c r="H331" s="3">
        <f t="shared" si="263"/>
        <v>0.43</v>
      </c>
      <c r="I331" s="5">
        <f t="shared" si="282"/>
        <v>0.8786221266772891</v>
      </c>
      <c r="J331" s="5">
        <f t="shared" si="251"/>
        <v>1.2612014691963536</v>
      </c>
      <c r="K331" s="4">
        <f t="shared" si="283"/>
        <v>1.4201764041263574</v>
      </c>
      <c r="L331" s="4">
        <f t="shared" si="284"/>
        <v>0.006782244709609357</v>
      </c>
      <c r="M331" s="4">
        <f t="shared" si="277"/>
        <v>9.426308708815398</v>
      </c>
      <c r="N331" s="4">
        <f t="shared" si="285"/>
        <v>0.06393153237150784</v>
      </c>
      <c r="O331" s="4">
        <f>SUMPRODUCT($M$4:M331,L$27:$L$354)</f>
        <v>7.560993933879513</v>
      </c>
      <c r="P331" s="4">
        <f t="shared" si="286"/>
        <v>1.865314774935885</v>
      </c>
      <c r="Q331" s="4">
        <f t="shared" si="296"/>
        <v>88.92504542046859</v>
      </c>
      <c r="R331" s="4">
        <f t="shared" si="297"/>
        <v>153.93047790320756</v>
      </c>
      <c r="S331" s="4">
        <f t="shared" si="301"/>
        <v>0.10988784398127595</v>
      </c>
      <c r="T331" s="5">
        <f t="shared" si="298"/>
        <v>472.62320244136623</v>
      </c>
      <c r="U331" s="4">
        <f t="shared" si="287"/>
        <v>484.0529444494052</v>
      </c>
      <c r="V331" s="4">
        <f t="shared" si="278"/>
        <v>0.1385907102760049</v>
      </c>
      <c r="W331" s="4">
        <f>SUMPRODUCT($J$4:J331,$S$27:S$354)</f>
        <v>14.091561278627278</v>
      </c>
      <c r="X331" s="6">
        <f t="shared" si="255"/>
        <v>2.928615075038466</v>
      </c>
      <c r="Y331" s="4">
        <f t="shared" si="288"/>
        <v>2077</v>
      </c>
      <c r="Z331" s="4">
        <f t="shared" si="299"/>
        <v>327</v>
      </c>
      <c r="AA331" s="3">
        <f t="shared" si="264"/>
        <v>114.11</v>
      </c>
      <c r="AB331" s="6">
        <f t="shared" si="289"/>
        <v>220.4453745</v>
      </c>
      <c r="AC331" s="4">
        <f t="shared" si="274"/>
        <v>220.43286297992816</v>
      </c>
      <c r="AD331" s="4">
        <f t="shared" si="275"/>
        <v>8.568933656558404</v>
      </c>
      <c r="AE331" s="4">
        <f t="shared" si="252"/>
        <v>0.012511520071853965</v>
      </c>
      <c r="AF331" s="6">
        <f t="shared" si="265"/>
        <v>1888.8745786002335</v>
      </c>
      <c r="AG331" s="30">
        <f t="shared" si="302"/>
        <v>0.5838421292443091</v>
      </c>
      <c r="AH331" s="3">
        <f t="shared" si="266"/>
        <v>1.4553</v>
      </c>
      <c r="AI331" s="47">
        <f t="shared" si="290"/>
        <v>3.4303</v>
      </c>
      <c r="AJ331" s="4">
        <f t="shared" si="276"/>
        <v>3.0118917503131986</v>
      </c>
      <c r="AK331" s="4">
        <f t="shared" si="256"/>
        <v>120</v>
      </c>
      <c r="AL331" s="4">
        <f t="shared" si="257"/>
        <v>0.41840824968680135</v>
      </c>
      <c r="AM331" s="4">
        <f t="shared" si="267"/>
        <v>361.42701003758384</v>
      </c>
      <c r="AN331" s="26">
        <f t="shared" si="291"/>
        <v>0.302257353934005</v>
      </c>
      <c r="AO331" s="4">
        <f t="shared" si="292"/>
        <v>0.9775228762144088</v>
      </c>
      <c r="AP331" s="3">
        <f t="shared" si="268"/>
        <v>30</v>
      </c>
      <c r="AQ331" s="3">
        <f t="shared" si="269"/>
        <v>870</v>
      </c>
      <c r="AR331" s="21">
        <f t="shared" si="270"/>
        <v>138</v>
      </c>
      <c r="AS331" s="35">
        <f t="shared" si="279"/>
        <v>0.11670063511748982</v>
      </c>
      <c r="AT331" s="36">
        <f t="shared" si="271"/>
        <v>-0.022733584619568155</v>
      </c>
      <c r="AU331" s="4">
        <f t="shared" si="272"/>
        <v>34.355212259680755</v>
      </c>
      <c r="AV331" s="4">
        <f t="shared" si="258"/>
        <v>0.39291891490659175</v>
      </c>
      <c r="AW331" s="4">
        <f t="shared" si="254"/>
        <v>0.029192106462215456</v>
      </c>
      <c r="AX331" s="3">
        <f t="shared" si="273"/>
        <v>67.8</v>
      </c>
      <c r="AY331" s="36">
        <f t="shared" si="259"/>
        <v>-0.4</v>
      </c>
      <c r="AZ331" s="36">
        <f t="shared" si="280"/>
        <v>-0.8000000000000002</v>
      </c>
      <c r="BA331" s="36">
        <f t="shared" si="260"/>
        <v>-0.1</v>
      </c>
      <c r="BB331" s="6">
        <f t="shared" si="253"/>
        <v>2.936825579585587</v>
      </c>
      <c r="BC331" s="6">
        <f t="shared" si="300"/>
        <v>0.017065486036985877</v>
      </c>
      <c r="BD331" s="4">
        <f t="shared" si="293"/>
        <v>0.5810244355385159</v>
      </c>
      <c r="BE331" s="4">
        <f>SUMPRODUCT(BC$4:BC331,$BD$27:BD$354)</f>
        <v>2.033906870723714</v>
      </c>
      <c r="BF331" s="23">
        <f t="shared" si="294"/>
        <v>2.033906870723714</v>
      </c>
      <c r="BG331" s="4">
        <f t="shared" si="261"/>
        <v>1.331265532931942</v>
      </c>
    </row>
    <row r="332" spans="5:59" ht="15">
      <c r="E332" s="1">
        <f t="shared" si="295"/>
        <v>328</v>
      </c>
      <c r="F332" s="1">
        <f t="shared" si="281"/>
        <v>2078</v>
      </c>
      <c r="G332" s="3">
        <f t="shared" si="262"/>
        <v>3.13</v>
      </c>
      <c r="H332" s="3">
        <f t="shared" si="263"/>
        <v>0.43</v>
      </c>
      <c r="I332" s="5">
        <f t="shared" si="282"/>
        <v>0.8784597350308434</v>
      </c>
      <c r="J332" s="5">
        <f t="shared" si="251"/>
        <v>1.2619140106387525</v>
      </c>
      <c r="K332" s="4">
        <f t="shared" si="283"/>
        <v>1.4196262543304043</v>
      </c>
      <c r="L332" s="4">
        <f t="shared" si="284"/>
        <v>0.0071062830417960125</v>
      </c>
      <c r="M332" s="4">
        <f t="shared" si="277"/>
        <v>9.476756976366913</v>
      </c>
      <c r="N332" s="4">
        <f t="shared" si="285"/>
        <v>0.06734451739237825</v>
      </c>
      <c r="O332" s="4">
        <f>SUMPRODUCT($M$4:M332,L$26:$L$354)</f>
        <v>7.611786958896432</v>
      </c>
      <c r="P332" s="4">
        <f t="shared" si="286"/>
        <v>1.8649700174704806</v>
      </c>
      <c r="Q332" s="4">
        <f t="shared" si="296"/>
        <v>89.37631131416639</v>
      </c>
      <c r="R332" s="4">
        <f t="shared" si="297"/>
        <v>154.95869692537536</v>
      </c>
      <c r="S332" s="4">
        <f t="shared" si="301"/>
        <v>0.11222324269848133</v>
      </c>
      <c r="T332" s="5">
        <f t="shared" si="298"/>
        <v>474.0369809887963</v>
      </c>
      <c r="U332" s="4">
        <f t="shared" si="287"/>
        <v>485.47312085353155</v>
      </c>
      <c r="V332" s="4">
        <f t="shared" si="278"/>
        <v>0.14161608228052666</v>
      </c>
      <c r="W332" s="4">
        <f>SUMPRODUCT($J$4:J332,$S$26:S$354)</f>
        <v>14.162430245212578</v>
      </c>
      <c r="X332" s="6">
        <f t="shared" si="255"/>
        <v>2.944288607640127</v>
      </c>
      <c r="Y332" s="4">
        <f t="shared" si="288"/>
        <v>2078</v>
      </c>
      <c r="Z332" s="4">
        <f t="shared" si="299"/>
        <v>328</v>
      </c>
      <c r="AA332" s="3">
        <f t="shared" si="264"/>
        <v>114.11</v>
      </c>
      <c r="AB332" s="6">
        <f t="shared" si="289"/>
        <v>220.4453745</v>
      </c>
      <c r="AC332" s="4">
        <f t="shared" si="274"/>
        <v>220.43391455367794</v>
      </c>
      <c r="AD332" s="4">
        <f t="shared" si="275"/>
        <v>8.568949537301538</v>
      </c>
      <c r="AE332" s="4">
        <f t="shared" si="252"/>
        <v>0.01145994632207703</v>
      </c>
      <c r="AF332" s="6">
        <f t="shared" si="265"/>
        <v>1888.8870901203054</v>
      </c>
      <c r="AG332" s="30">
        <f t="shared" si="302"/>
        <v>0.5838473110401975</v>
      </c>
      <c r="AH332" s="3">
        <f t="shared" si="266"/>
        <v>1.4553</v>
      </c>
      <c r="AI332" s="47">
        <f t="shared" si="290"/>
        <v>3.4303</v>
      </c>
      <c r="AJ332" s="4">
        <f t="shared" si="276"/>
        <v>3.0153784857272554</v>
      </c>
      <c r="AK332" s="4">
        <f t="shared" si="256"/>
        <v>120</v>
      </c>
      <c r="AL332" s="4">
        <f t="shared" si="257"/>
        <v>0.4149215142727445</v>
      </c>
      <c r="AM332" s="4">
        <f t="shared" si="267"/>
        <v>361.84541828727066</v>
      </c>
      <c r="AN332" s="26">
        <f t="shared" si="291"/>
        <v>0.3035774804377919</v>
      </c>
      <c r="AO332" s="4">
        <f t="shared" si="292"/>
        <v>0.9775208042515571</v>
      </c>
      <c r="AP332" s="3">
        <f t="shared" si="268"/>
        <v>30</v>
      </c>
      <c r="AQ332" s="3">
        <f t="shared" si="269"/>
        <v>870</v>
      </c>
      <c r="AR332" s="21">
        <f t="shared" si="270"/>
        <v>138</v>
      </c>
      <c r="AS332" s="35">
        <f t="shared" si="279"/>
        <v>0.11670041883744267</v>
      </c>
      <c r="AT332" s="36">
        <f t="shared" si="271"/>
        <v>-0.022735704227301104</v>
      </c>
      <c r="AU332" s="4">
        <f t="shared" si="272"/>
        <v>34.35524537855158</v>
      </c>
      <c r="AV332" s="4">
        <f t="shared" si="258"/>
        <v>0.3929203058991664</v>
      </c>
      <c r="AW332" s="4">
        <f t="shared" si="254"/>
        <v>0.029192365552009873</v>
      </c>
      <c r="AX332" s="3">
        <f t="shared" si="273"/>
        <v>67.8</v>
      </c>
      <c r="AY332" s="36">
        <f t="shared" si="259"/>
        <v>-0.4</v>
      </c>
      <c r="AZ332" s="36">
        <f t="shared" si="280"/>
        <v>-0.8000000000000002</v>
      </c>
      <c r="BA332" s="36">
        <f t="shared" si="260"/>
        <v>-0.1</v>
      </c>
      <c r="BB332" s="6">
        <f t="shared" si="253"/>
        <v>2.9538260705692925</v>
      </c>
      <c r="BC332" s="6">
        <f t="shared" si="300"/>
        <v>0.017000490983705596</v>
      </c>
      <c r="BD332" s="4">
        <f t="shared" si="293"/>
        <v>0.5700611180493569</v>
      </c>
      <c r="BE332" s="4">
        <f>SUMPRODUCT(BC$4:BC332,$BD$26:BD$354)</f>
        <v>2.048514740091475</v>
      </c>
      <c r="BF332" s="23">
        <f t="shared" si="294"/>
        <v>2.048514740091475</v>
      </c>
      <c r="BG332" s="4">
        <f t="shared" si="261"/>
        <v>1.3458734022997032</v>
      </c>
    </row>
    <row r="333" spans="5:59" ht="15">
      <c r="E333" s="1">
        <f t="shared" si="295"/>
        <v>329</v>
      </c>
      <c r="F333" s="1">
        <f t="shared" si="281"/>
        <v>2079</v>
      </c>
      <c r="G333" s="3">
        <f t="shared" si="262"/>
        <v>3.13</v>
      </c>
      <c r="H333" s="3">
        <f t="shared" si="263"/>
        <v>0.43</v>
      </c>
      <c r="I333" s="5">
        <f t="shared" si="282"/>
        <v>0.8782791460834252</v>
      </c>
      <c r="J333" s="5">
        <f aca="true" t="shared" si="303" ref="J333:J354">(((U333-T333)/9.06)+((U332-T332)/9.06))/2</f>
        <v>1.262613946383261</v>
      </c>
      <c r="K333" s="4">
        <f t="shared" si="283"/>
        <v>1.419106907533314</v>
      </c>
      <c r="L333" s="4">
        <f t="shared" si="284"/>
        <v>0.007474652714406369</v>
      </c>
      <c r="M333" s="4">
        <f t="shared" si="277"/>
        <v>9.527038423451915</v>
      </c>
      <c r="N333" s="4">
        <f t="shared" si="285"/>
        <v>0.07121130361210863</v>
      </c>
      <c r="O333" s="4">
        <f>SUMPRODUCT($M$4:M333,L$25:$L$354)</f>
        <v>7.662451796316803</v>
      </c>
      <c r="P333" s="4">
        <f t="shared" si="286"/>
        <v>1.864586627135112</v>
      </c>
      <c r="Q333" s="4">
        <f t="shared" si="296"/>
        <v>89.82580067129304</v>
      </c>
      <c r="R333" s="4">
        <f t="shared" si="297"/>
        <v>155.9860416568397</v>
      </c>
      <c r="S333" s="4">
        <f t="shared" si="301"/>
        <v>0.1147211987323497</v>
      </c>
      <c r="T333" s="5">
        <f t="shared" si="298"/>
        <v>475.4503222641325</v>
      </c>
      <c r="U333" s="4">
        <f t="shared" si="287"/>
        <v>486.89274710786196</v>
      </c>
      <c r="V333" s="4">
        <f t="shared" si="278"/>
        <v>0.14484858546527044</v>
      </c>
      <c r="W333" s="4">
        <f>SUMPRODUCT($J$4:J333,$S$25:S$354)</f>
        <v>14.233022107455628</v>
      </c>
      <c r="X333" s="6">
        <f t="shared" si="255"/>
        <v>2.9599103115834926</v>
      </c>
      <c r="Y333" s="4">
        <f t="shared" si="288"/>
        <v>2079</v>
      </c>
      <c r="Z333" s="4">
        <f t="shared" si="299"/>
        <v>329</v>
      </c>
      <c r="AA333" s="3">
        <f t="shared" si="264"/>
        <v>114.11</v>
      </c>
      <c r="AB333" s="6">
        <f t="shared" si="289"/>
        <v>220.4453745</v>
      </c>
      <c r="AC333" s="4">
        <f t="shared" si="274"/>
        <v>220.43487774267945</v>
      </c>
      <c r="AD333" s="4">
        <f t="shared" si="275"/>
        <v>8.568964083222792</v>
      </c>
      <c r="AE333" s="4">
        <f t="shared" si="252"/>
        <v>0.010496757320566985</v>
      </c>
      <c r="AF333" s="6">
        <f t="shared" si="265"/>
        <v>1888.8985500666274</v>
      </c>
      <c r="AG333" s="30">
        <f t="shared" si="302"/>
        <v>0.583852057299164</v>
      </c>
      <c r="AH333" s="3">
        <f t="shared" si="266"/>
        <v>1.4553</v>
      </c>
      <c r="AI333" s="47">
        <f t="shared" si="290"/>
        <v>3.4303</v>
      </c>
      <c r="AJ333" s="4">
        <f t="shared" si="276"/>
        <v>3.018836165012862</v>
      </c>
      <c r="AK333" s="4">
        <f t="shared" si="256"/>
        <v>120</v>
      </c>
      <c r="AL333" s="4">
        <f t="shared" si="257"/>
        <v>0.411463834987138</v>
      </c>
      <c r="AM333" s="4">
        <f t="shared" si="267"/>
        <v>362.2603398015434</v>
      </c>
      <c r="AN333" s="26">
        <f t="shared" si="291"/>
        <v>0.30488585237262256</v>
      </c>
      <c r="AO333" s="4">
        <f t="shared" si="292"/>
        <v>0.9775189064498477</v>
      </c>
      <c r="AP333" s="3">
        <f t="shared" si="268"/>
        <v>30</v>
      </c>
      <c r="AQ333" s="3">
        <f t="shared" si="269"/>
        <v>870</v>
      </c>
      <c r="AR333" s="21">
        <f t="shared" si="270"/>
        <v>138</v>
      </c>
      <c r="AS333" s="35">
        <f t="shared" si="279"/>
        <v>0.11670022073705548</v>
      </c>
      <c r="AT333" s="36">
        <f t="shared" si="271"/>
        <v>-0.022737645672990362</v>
      </c>
      <c r="AU333" s="4">
        <f t="shared" si="272"/>
        <v>34.355275713640474</v>
      </c>
      <c r="AV333" s="4">
        <f t="shared" si="258"/>
        <v>0.3929215799728999</v>
      </c>
      <c r="AW333" s="4">
        <f t="shared" si="254"/>
        <v>0.0291926028649582</v>
      </c>
      <c r="AX333" s="3">
        <f t="shared" si="273"/>
        <v>67.8</v>
      </c>
      <c r="AY333" s="36">
        <f t="shared" si="259"/>
        <v>-0.4</v>
      </c>
      <c r="AZ333" s="36">
        <f t="shared" si="280"/>
        <v>-0.8000000000000002</v>
      </c>
      <c r="BA333" s="36">
        <f t="shared" si="260"/>
        <v>-0.1</v>
      </c>
      <c r="BB333" s="6">
        <f t="shared" si="253"/>
        <v>2.9707624040931373</v>
      </c>
      <c r="BC333" s="6">
        <f t="shared" si="300"/>
        <v>0.016936333523844826</v>
      </c>
      <c r="BD333" s="4">
        <f t="shared" si="293"/>
        <v>0.5583530101279399</v>
      </c>
      <c r="BE333" s="4">
        <f>SUMPRODUCT(BC$4:BC333,$BD$25:BD$354)</f>
        <v>2.0630709726782976</v>
      </c>
      <c r="BF333" s="23">
        <f t="shared" si="294"/>
        <v>2.0630709726782976</v>
      </c>
      <c r="BG333" s="4">
        <f t="shared" si="261"/>
        <v>1.3604296348865257</v>
      </c>
    </row>
    <row r="334" spans="5:59" ht="15">
      <c r="E334" s="1">
        <f t="shared" si="295"/>
        <v>330</v>
      </c>
      <c r="F334" s="1">
        <f t="shared" si="281"/>
        <v>2080</v>
      </c>
      <c r="G334" s="3">
        <f t="shared" si="262"/>
        <v>3.13</v>
      </c>
      <c r="H334" s="3">
        <f t="shared" si="263"/>
        <v>0.43</v>
      </c>
      <c r="I334" s="5">
        <f t="shared" si="282"/>
        <v>0.8780807887685466</v>
      </c>
      <c r="J334" s="5">
        <f t="shared" si="303"/>
        <v>1.2633015344091059</v>
      </c>
      <c r="K334" s="4">
        <f t="shared" si="283"/>
        <v>1.4186176768223475</v>
      </c>
      <c r="L334" s="4">
        <f t="shared" si="284"/>
        <v>0.007900687149182448</v>
      </c>
      <c r="M334" s="4">
        <f t="shared" si="277"/>
        <v>9.577155164428468</v>
      </c>
      <c r="N334" s="4">
        <f t="shared" si="285"/>
        <v>0.07566610673332631</v>
      </c>
      <c r="O334" s="4">
        <f>SUMPRODUCT($M$4:M334,L$24:$L$354)</f>
        <v>7.712989649872844</v>
      </c>
      <c r="P334" s="4">
        <f t="shared" si="286"/>
        <v>1.8641655145556246</v>
      </c>
      <c r="Q334" s="4">
        <f t="shared" si="296"/>
        <v>90.27353248264676</v>
      </c>
      <c r="R334" s="4">
        <f t="shared" si="297"/>
        <v>157.01253138039252</v>
      </c>
      <c r="S334" s="4">
        <f t="shared" si="301"/>
        <v>0.11740232600947069</v>
      </c>
      <c r="T334" s="5">
        <f t="shared" si="298"/>
        <v>476.8632550556317</v>
      </c>
      <c r="U334" s="4">
        <f t="shared" si="287"/>
        <v>488.3118540153953</v>
      </c>
      <c r="V334" s="4">
        <f t="shared" si="278"/>
        <v>0.1483145385909624</v>
      </c>
      <c r="W334" s="4">
        <f>SUMPRODUCT($J$4:J334,$S$24:S$354)</f>
        <v>14.303339790241061</v>
      </c>
      <c r="X334" s="6">
        <f t="shared" si="255"/>
        <v>2.975480843768427</v>
      </c>
      <c r="Y334" s="4">
        <f t="shared" si="288"/>
        <v>2080</v>
      </c>
      <c r="Z334" s="4">
        <f t="shared" si="299"/>
        <v>330</v>
      </c>
      <c r="AA334" s="3">
        <f t="shared" si="264"/>
        <v>114.11</v>
      </c>
      <c r="AB334" s="6">
        <f t="shared" si="289"/>
        <v>220.4453745</v>
      </c>
      <c r="AC334" s="4">
        <f t="shared" si="274"/>
        <v>220.43575997592865</v>
      </c>
      <c r="AD334" s="4">
        <f t="shared" si="275"/>
        <v>8.568977406525216</v>
      </c>
      <c r="AE334" s="4">
        <f t="shared" si="252"/>
        <v>0.009614524071366759</v>
      </c>
      <c r="AF334" s="6">
        <f t="shared" si="265"/>
        <v>1888.909046823948</v>
      </c>
      <c r="AG334" s="30">
        <f t="shared" si="302"/>
        <v>0.5838564046305019</v>
      </c>
      <c r="AH334" s="3">
        <f t="shared" si="266"/>
        <v>1.4553</v>
      </c>
      <c r="AI334" s="47">
        <f t="shared" si="290"/>
        <v>3.4303</v>
      </c>
      <c r="AJ334" s="4">
        <f t="shared" si="276"/>
        <v>3.0222650303044216</v>
      </c>
      <c r="AK334" s="4">
        <f t="shared" si="256"/>
        <v>120</v>
      </c>
      <c r="AL334" s="4">
        <f t="shared" si="257"/>
        <v>0.4080349696955783</v>
      </c>
      <c r="AM334" s="4">
        <f t="shared" si="267"/>
        <v>362.67180363653057</v>
      </c>
      <c r="AN334" s="26">
        <f t="shared" si="291"/>
        <v>0.30618258147225713</v>
      </c>
      <c r="AO334" s="4">
        <f t="shared" si="292"/>
        <v>0.9775171681684809</v>
      </c>
      <c r="AP334" s="3">
        <f t="shared" si="268"/>
        <v>30</v>
      </c>
      <c r="AQ334" s="3">
        <f t="shared" si="269"/>
        <v>870</v>
      </c>
      <c r="AR334" s="21">
        <f t="shared" si="270"/>
        <v>138</v>
      </c>
      <c r="AS334" s="35">
        <f t="shared" si="279"/>
        <v>0.11670003928806102</v>
      </c>
      <c r="AT334" s="36">
        <f t="shared" si="271"/>
        <v>-0.022739423933135425</v>
      </c>
      <c r="AU334" s="4">
        <f t="shared" si="272"/>
        <v>34.355303498955244</v>
      </c>
      <c r="AV334" s="4">
        <f t="shared" si="258"/>
        <v>0.3929227469561203</v>
      </c>
      <c r="AW334" s="4">
        <f t="shared" si="254"/>
        <v>0.029192820231525096</v>
      </c>
      <c r="AX334" s="3">
        <f t="shared" si="273"/>
        <v>67.8</v>
      </c>
      <c r="AY334" s="36">
        <f t="shared" si="259"/>
        <v>-0.4</v>
      </c>
      <c r="AZ334" s="36">
        <f t="shared" si="280"/>
        <v>-0.8000000000000002</v>
      </c>
      <c r="BA334" s="36">
        <f t="shared" si="260"/>
        <v>-0.1</v>
      </c>
      <c r="BB334" s="6">
        <f t="shared" si="253"/>
        <v>2.987635397058831</v>
      </c>
      <c r="BC334" s="6">
        <f t="shared" si="300"/>
        <v>0.01687299296569389</v>
      </c>
      <c r="BD334" s="4">
        <f t="shared" si="293"/>
        <v>0.5458466512503172</v>
      </c>
      <c r="BE334" s="4">
        <f>SUMPRODUCT(BC$4:BC334,$BD$24:BD$354)</f>
        <v>2.0775764160948507</v>
      </c>
      <c r="BF334" s="23">
        <f t="shared" si="294"/>
        <v>2.0775764160948507</v>
      </c>
      <c r="BG334" s="4">
        <f t="shared" si="261"/>
        <v>1.3749350783030787</v>
      </c>
    </row>
    <row r="335" spans="5:59" ht="15">
      <c r="E335" s="1">
        <f t="shared" si="295"/>
        <v>331</v>
      </c>
      <c r="F335" s="1">
        <f t="shared" si="281"/>
        <v>2081</v>
      </c>
      <c r="G335" s="3">
        <f t="shared" si="262"/>
        <v>3.13</v>
      </c>
      <c r="H335" s="3">
        <f t="shared" si="263"/>
        <v>0.43</v>
      </c>
      <c r="I335" s="5">
        <f t="shared" si="282"/>
        <v>0.8778650798561637</v>
      </c>
      <c r="J335" s="5">
        <f t="shared" si="303"/>
        <v>1.2639770038158091</v>
      </c>
      <c r="K335" s="4">
        <f t="shared" si="283"/>
        <v>1.4181579163280271</v>
      </c>
      <c r="L335" s="4">
        <f t="shared" si="284"/>
        <v>0.008402490208584083</v>
      </c>
      <c r="M335" s="4">
        <f t="shared" si="277"/>
        <v>9.62710926740376</v>
      </c>
      <c r="N335" s="4">
        <f t="shared" si="285"/>
        <v>0.08089169135632918</v>
      </c>
      <c r="O335" s="4">
        <f>SUMPRODUCT($M$4:M335,L$23:$L$354)</f>
        <v>7.763401702869125</v>
      </c>
      <c r="P335" s="4">
        <f t="shared" si="286"/>
        <v>1.8637075645346357</v>
      </c>
      <c r="Q335" s="4">
        <f t="shared" si="296"/>
        <v>90.71952529942949</v>
      </c>
      <c r="R335" s="4">
        <f t="shared" si="297"/>
        <v>158.03818480553724</v>
      </c>
      <c r="S335" s="4">
        <f t="shared" si="301"/>
        <v>0.12029087454094856</v>
      </c>
      <c r="T335" s="5">
        <f t="shared" si="298"/>
        <v>478.27580734283873</v>
      </c>
      <c r="U335" s="4">
        <f t="shared" si="287"/>
        <v>489.73047169221763</v>
      </c>
      <c r="V335" s="4">
        <f t="shared" si="278"/>
        <v>0.15204489918865155</v>
      </c>
      <c r="W335" s="4">
        <f>SUMPRODUCT($J$4:J335,$S$23:S$354)</f>
        <v>14.373386138507477</v>
      </c>
      <c r="X335" s="6">
        <f t="shared" si="255"/>
        <v>2.991000846725326</v>
      </c>
      <c r="Y335" s="4">
        <f t="shared" si="288"/>
        <v>2081</v>
      </c>
      <c r="Z335" s="4">
        <f t="shared" si="299"/>
        <v>331</v>
      </c>
      <c r="AA335" s="3">
        <f t="shared" si="264"/>
        <v>114.11</v>
      </c>
      <c r="AB335" s="6">
        <f t="shared" si="289"/>
        <v>220.4453745</v>
      </c>
      <c r="AC335" s="4">
        <f t="shared" si="274"/>
        <v>220.4365680579508</v>
      </c>
      <c r="AD335" s="4">
        <f t="shared" si="275"/>
        <v>8.568989609979047</v>
      </c>
      <c r="AE335" s="4">
        <f t="shared" si="252"/>
        <v>0.008806442049205998</v>
      </c>
      <c r="AF335" s="6">
        <f t="shared" si="265"/>
        <v>1888.9186613480194</v>
      </c>
      <c r="AG335" s="30">
        <f t="shared" si="302"/>
        <v>0.5838603865659949</v>
      </c>
      <c r="AH335" s="3">
        <f t="shared" si="266"/>
        <v>1.4553</v>
      </c>
      <c r="AI335" s="47">
        <f t="shared" si="290"/>
        <v>3.4303</v>
      </c>
      <c r="AJ335" s="4">
        <f t="shared" si="276"/>
        <v>3.025665321718551</v>
      </c>
      <c r="AK335" s="4">
        <f t="shared" si="256"/>
        <v>120</v>
      </c>
      <c r="AL335" s="4">
        <f t="shared" si="257"/>
        <v>0.40463467828144895</v>
      </c>
      <c r="AM335" s="4">
        <f t="shared" si="267"/>
        <v>363.07983860622613</v>
      </c>
      <c r="AN335" s="26">
        <f t="shared" si="291"/>
        <v>0.30746777827555705</v>
      </c>
      <c r="AO335" s="4">
        <f t="shared" si="292"/>
        <v>0.9775155759976711</v>
      </c>
      <c r="AP335" s="3">
        <f t="shared" si="268"/>
        <v>30</v>
      </c>
      <c r="AQ335" s="3">
        <f t="shared" si="269"/>
        <v>870</v>
      </c>
      <c r="AR335" s="21">
        <f t="shared" si="270"/>
        <v>138</v>
      </c>
      <c r="AS335" s="35">
        <f t="shared" si="279"/>
        <v>0.11669987309069048</v>
      </c>
      <c r="AT335" s="36">
        <f t="shared" si="271"/>
        <v>-0.02274105272509765</v>
      </c>
      <c r="AU335" s="4">
        <f t="shared" si="272"/>
        <v>34.35532894882965</v>
      </c>
      <c r="AV335" s="4">
        <f t="shared" si="258"/>
        <v>0.3929238158508454</v>
      </c>
      <c r="AW335" s="4">
        <f t="shared" si="254"/>
        <v>0.02919301932829975</v>
      </c>
      <c r="AX335" s="3">
        <f t="shared" si="273"/>
        <v>67.8</v>
      </c>
      <c r="AY335" s="36">
        <f t="shared" si="259"/>
        <v>-0.4</v>
      </c>
      <c r="AZ335" s="36">
        <f t="shared" si="280"/>
        <v>-0.8000000000000002</v>
      </c>
      <c r="BA335" s="36">
        <f t="shared" si="260"/>
        <v>-0.1</v>
      </c>
      <c r="BB335" s="6">
        <f t="shared" si="253"/>
        <v>3.0044458467460227</v>
      </c>
      <c r="BC335" s="6">
        <f t="shared" si="300"/>
        <v>0.016810449687191475</v>
      </c>
      <c r="BD335" s="4">
        <f t="shared" si="293"/>
        <v>0.532484736637906</v>
      </c>
      <c r="BE335" s="4">
        <f>SUMPRODUCT(BC$4:BC335,$BD$23:BD$354)</f>
        <v>2.0920318967050493</v>
      </c>
      <c r="BF335" s="23">
        <f t="shared" si="294"/>
        <v>2.0920318967050493</v>
      </c>
      <c r="BG335" s="4">
        <f t="shared" si="261"/>
        <v>1.3893905589132773</v>
      </c>
    </row>
    <row r="336" spans="5:59" ht="15">
      <c r="E336" s="1">
        <f t="shared" si="295"/>
        <v>332</v>
      </c>
      <c r="F336" s="1">
        <f t="shared" si="281"/>
        <v>2082</v>
      </c>
      <c r="G336" s="3">
        <f t="shared" si="262"/>
        <v>3.13</v>
      </c>
      <c r="H336" s="3">
        <f t="shared" si="263"/>
        <v>0.43</v>
      </c>
      <c r="I336" s="5">
        <f t="shared" si="282"/>
        <v>0.8776324248288505</v>
      </c>
      <c r="J336" s="5">
        <f t="shared" si="303"/>
        <v>1.2646406096079104</v>
      </c>
      <c r="K336" s="4">
        <f t="shared" si="283"/>
        <v>1.4177269655632392</v>
      </c>
      <c r="L336" s="4">
        <f t="shared" si="284"/>
        <v>0.00900457238060248</v>
      </c>
      <c r="M336" s="4">
        <f t="shared" si="277"/>
        <v>9.676902756331595</v>
      </c>
      <c r="N336" s="4">
        <f t="shared" si="285"/>
        <v>0.08713637128943949</v>
      </c>
      <c r="O336" s="4">
        <f>SUMPRODUCT($M$4:M336,L$22:$L$354)</f>
        <v>7.813689118419945</v>
      </c>
      <c r="P336" s="4">
        <f t="shared" si="286"/>
        <v>1.8632136379116497</v>
      </c>
      <c r="Q336" s="4">
        <f t="shared" si="296"/>
        <v>91.16379716578224</v>
      </c>
      <c r="R336" s="4">
        <f t="shared" si="297"/>
        <v>159.0630198980869</v>
      </c>
      <c r="S336" s="4">
        <f t="shared" si="301"/>
        <v>0.1234154620027384</v>
      </c>
      <c r="T336" s="5">
        <f t="shared" si="298"/>
        <v>479.6880061118292</v>
      </c>
      <c r="U336" s="4">
        <f t="shared" si="287"/>
        <v>491.14862960854566</v>
      </c>
      <c r="V336" s="4">
        <f t="shared" si="278"/>
        <v>0.15607620510218498</v>
      </c>
      <c r="W336" s="4">
        <f>SUMPRODUCT($J$4:J336,$S$22:S$354)</f>
        <v>14.443163964779242</v>
      </c>
      <c r="X336" s="6">
        <f t="shared" si="255"/>
        <v>3.006470949266785</v>
      </c>
      <c r="Y336" s="4">
        <f t="shared" si="288"/>
        <v>2082</v>
      </c>
      <c r="Z336" s="4">
        <f t="shared" si="299"/>
        <v>332</v>
      </c>
      <c r="AA336" s="3">
        <f t="shared" si="264"/>
        <v>114.11</v>
      </c>
      <c r="AB336" s="6">
        <f t="shared" si="289"/>
        <v>220.4453745</v>
      </c>
      <c r="AC336" s="4">
        <f t="shared" si="274"/>
        <v>220.43730822129953</v>
      </c>
      <c r="AD336" s="4">
        <f t="shared" si="275"/>
        <v>8.569000787714904</v>
      </c>
      <c r="AE336" s="4">
        <f t="shared" si="252"/>
        <v>0.008066278700482599</v>
      </c>
      <c r="AF336" s="6">
        <f t="shared" si="265"/>
        <v>1888.9274677900687</v>
      </c>
      <c r="AG336" s="30">
        <f t="shared" si="302"/>
        <v>0.5838640338186734</v>
      </c>
      <c r="AH336" s="3">
        <f t="shared" si="266"/>
        <v>1.4553</v>
      </c>
      <c r="AI336" s="47">
        <f t="shared" si="290"/>
        <v>3.4303</v>
      </c>
      <c r="AJ336" s="4">
        <f t="shared" si="276"/>
        <v>3.0290372773708967</v>
      </c>
      <c r="AK336" s="4">
        <f t="shared" si="256"/>
        <v>120</v>
      </c>
      <c r="AL336" s="4">
        <f t="shared" si="257"/>
        <v>0.40126272262910323</v>
      </c>
      <c r="AM336" s="4">
        <f t="shared" si="267"/>
        <v>363.4844732845076</v>
      </c>
      <c r="AN336" s="26">
        <f t="shared" si="291"/>
        <v>0.3087415521418239</v>
      </c>
      <c r="AO336" s="4">
        <f t="shared" si="292"/>
        <v>0.9775141176551034</v>
      </c>
      <c r="AP336" s="3">
        <f t="shared" si="268"/>
        <v>30</v>
      </c>
      <c r="AQ336" s="3">
        <f t="shared" si="269"/>
        <v>870</v>
      </c>
      <c r="AR336" s="21">
        <f t="shared" si="270"/>
        <v>138</v>
      </c>
      <c r="AS336" s="35">
        <f t="shared" si="279"/>
        <v>0.11669972086286505</v>
      </c>
      <c r="AT336" s="36">
        <f t="shared" si="271"/>
        <v>-0.02274254461299325</v>
      </c>
      <c r="AU336" s="4">
        <f t="shared" si="272"/>
        <v>34.35535225957802</v>
      </c>
      <c r="AV336" s="4">
        <f t="shared" si="258"/>
        <v>0.39292479490227683</v>
      </c>
      <c r="AW336" s="4">
        <f t="shared" si="254"/>
        <v>0.02919320169093367</v>
      </c>
      <c r="AX336" s="3">
        <f t="shared" si="273"/>
        <v>67.8</v>
      </c>
      <c r="AY336" s="36">
        <f t="shared" si="259"/>
        <v>-0.4</v>
      </c>
      <c r="AZ336" s="36">
        <f t="shared" si="280"/>
        <v>-0.8000000000000002</v>
      </c>
      <c r="BA336" s="36">
        <f t="shared" si="260"/>
        <v>-0.1</v>
      </c>
      <c r="BB336" s="6">
        <f t="shared" si="253"/>
        <v>3.0211945318204925</v>
      </c>
      <c r="BC336" s="6">
        <f t="shared" si="300"/>
        <v>0.016748685074469805</v>
      </c>
      <c r="BD336" s="4">
        <f t="shared" si="293"/>
        <v>0.5182058408080068</v>
      </c>
      <c r="BE336" s="4">
        <f>SUMPRODUCT(BC$4:BC336,$BD$22:BD$354)</f>
        <v>2.1064382201474507</v>
      </c>
      <c r="BF336" s="23">
        <f t="shared" si="294"/>
        <v>2.1064382201474507</v>
      </c>
      <c r="BG336" s="4">
        <f t="shared" si="261"/>
        <v>1.4037968823556788</v>
      </c>
    </row>
    <row r="337" spans="5:59" ht="15">
      <c r="E337" s="1">
        <f t="shared" si="295"/>
        <v>333</v>
      </c>
      <c r="F337" s="1">
        <f t="shared" si="281"/>
        <v>2083</v>
      </c>
      <c r="G337" s="3">
        <f t="shared" si="262"/>
        <v>3.13</v>
      </c>
      <c r="H337" s="3">
        <f t="shared" si="263"/>
        <v>0.43</v>
      </c>
      <c r="I337" s="5">
        <f t="shared" si="282"/>
        <v>0.8773832177941046</v>
      </c>
      <c r="J337" s="5">
        <f t="shared" si="303"/>
        <v>1.2652926031453082</v>
      </c>
      <c r="K337" s="4">
        <f t="shared" si="283"/>
        <v>1.4173241790605873</v>
      </c>
      <c r="L337" s="4">
        <f t="shared" si="284"/>
        <v>0.009739967330722212</v>
      </c>
      <c r="M337" s="4">
        <f t="shared" si="277"/>
        <v>9.726537611126808</v>
      </c>
      <c r="N337" s="4">
        <f t="shared" si="285"/>
        <v>0.09473615857341598</v>
      </c>
      <c r="O337" s="4">
        <f>SUMPRODUCT($M$4:M337,L$21:$L$354)</f>
        <v>7.863853039749924</v>
      </c>
      <c r="P337" s="4">
        <f t="shared" si="286"/>
        <v>1.8626845713768843</v>
      </c>
      <c r="Q337" s="4">
        <f t="shared" si="296"/>
        <v>91.60636592025729</v>
      </c>
      <c r="R337" s="4">
        <f t="shared" si="297"/>
        <v>160.08705456185675</v>
      </c>
      <c r="S337" s="4">
        <f t="shared" si="301"/>
        <v>0.126809964609081</v>
      </c>
      <c r="T337" s="5">
        <f t="shared" si="298"/>
        <v>481.09987810183236</v>
      </c>
      <c r="U337" s="4">
        <f t="shared" si="287"/>
        <v>492.5663565741089</v>
      </c>
      <c r="V337" s="4">
        <f t="shared" si="278"/>
        <v>0.16045171022498853</v>
      </c>
      <c r="W337" s="4">
        <f>SUMPRODUCT($J$4:J337,$S$21:S$354)</f>
        <v>14.512676036769841</v>
      </c>
      <c r="X337" s="6">
        <f t="shared" si="255"/>
        <v>3.0218917665231375</v>
      </c>
      <c r="Y337" s="4">
        <f t="shared" si="288"/>
        <v>2083</v>
      </c>
      <c r="Z337" s="4">
        <f t="shared" si="299"/>
        <v>333</v>
      </c>
      <c r="AA337" s="3">
        <f t="shared" si="264"/>
        <v>114.11</v>
      </c>
      <c r="AB337" s="6">
        <f t="shared" si="289"/>
        <v>220.4453745</v>
      </c>
      <c r="AC337" s="4">
        <f t="shared" si="274"/>
        <v>220.4379861746406</v>
      </c>
      <c r="AD337" s="4">
        <f t="shared" si="275"/>
        <v>8.569011025950273</v>
      </c>
      <c r="AE337" s="4">
        <f t="shared" si="252"/>
        <v>0.007388325359414694</v>
      </c>
      <c r="AF337" s="6">
        <f t="shared" si="265"/>
        <v>1888.9355340687691</v>
      </c>
      <c r="AG337" s="30">
        <f t="shared" si="302"/>
        <v>0.5838673745198024</v>
      </c>
      <c r="AH337" s="3">
        <f t="shared" si="266"/>
        <v>1.4553</v>
      </c>
      <c r="AI337" s="47">
        <f t="shared" si="290"/>
        <v>3.4303</v>
      </c>
      <c r="AJ337" s="4">
        <f t="shared" si="276"/>
        <v>3.0323811333928057</v>
      </c>
      <c r="AK337" s="4">
        <f t="shared" si="256"/>
        <v>120</v>
      </c>
      <c r="AL337" s="4">
        <f t="shared" si="257"/>
        <v>0.3979188666071942</v>
      </c>
      <c r="AM337" s="4">
        <f t="shared" si="267"/>
        <v>363.8857360071367</v>
      </c>
      <c r="AN337" s="26">
        <f t="shared" si="291"/>
        <v>0.310004011265884</v>
      </c>
      <c r="AO337" s="4">
        <f t="shared" si="292"/>
        <v>0.9775127818911051</v>
      </c>
      <c r="AP337" s="3">
        <f t="shared" si="268"/>
        <v>30</v>
      </c>
      <c r="AQ337" s="3">
        <f t="shared" si="269"/>
        <v>870</v>
      </c>
      <c r="AR337" s="21">
        <f t="shared" si="270"/>
        <v>138</v>
      </c>
      <c r="AS337" s="35">
        <f t="shared" si="279"/>
        <v>0.11669958143029738</v>
      </c>
      <c r="AT337" s="36">
        <f t="shared" si="271"/>
        <v>-0.02274391110467534</v>
      </c>
      <c r="AU337" s="4">
        <f t="shared" si="272"/>
        <v>34.35537361101055</v>
      </c>
      <c r="AV337" s="4">
        <f t="shared" si="258"/>
        <v>0.39292569166244307</v>
      </c>
      <c r="AW337" s="4">
        <f t="shared" si="254"/>
        <v>0.029193368725990126</v>
      </c>
      <c r="AX337" s="3">
        <f t="shared" si="273"/>
        <v>67.8</v>
      </c>
      <c r="AY337" s="36">
        <f t="shared" si="259"/>
        <v>-0.4</v>
      </c>
      <c r="AZ337" s="36">
        <f t="shared" si="280"/>
        <v>-0.8000000000000002</v>
      </c>
      <c r="BA337" s="36">
        <f t="shared" si="260"/>
        <v>-0.1</v>
      </c>
      <c r="BB337" s="6">
        <f t="shared" si="253"/>
        <v>3.037882212697257</v>
      </c>
      <c r="BC337" s="6">
        <f t="shared" si="300"/>
        <v>0.01668768087676442</v>
      </c>
      <c r="BD337" s="4">
        <f t="shared" si="293"/>
        <v>0.5029441212441472</v>
      </c>
      <c r="BE337" s="4">
        <f>SUMPRODUCT(BC$4:BC337,$BD$21:BD$354)</f>
        <v>2.120796171869406</v>
      </c>
      <c r="BF337" s="23">
        <f t="shared" si="294"/>
        <v>2.120796171869406</v>
      </c>
      <c r="BG337" s="4">
        <f t="shared" si="261"/>
        <v>1.4181548340776342</v>
      </c>
    </row>
    <row r="338" spans="5:59" ht="15">
      <c r="E338" s="1">
        <f t="shared" si="295"/>
        <v>334</v>
      </c>
      <c r="F338" s="1">
        <f t="shared" si="281"/>
        <v>2084</v>
      </c>
      <c r="G338" s="3">
        <f t="shared" si="262"/>
        <v>3.13</v>
      </c>
      <c r="H338" s="3">
        <f t="shared" si="263"/>
        <v>0.43</v>
      </c>
      <c r="I338" s="5">
        <f t="shared" si="282"/>
        <v>0.8771178418983863</v>
      </c>
      <c r="J338" s="5">
        <f t="shared" si="303"/>
        <v>1.2659332021445988</v>
      </c>
      <c r="K338" s="4">
        <f t="shared" si="283"/>
        <v>1.416948955957015</v>
      </c>
      <c r="L338" s="4">
        <f t="shared" si="284"/>
        <v>0.010652911049178346</v>
      </c>
      <c r="M338" s="4">
        <f t="shared" si="277"/>
        <v>9.776015768810014</v>
      </c>
      <c r="N338" s="4">
        <f t="shared" si="285"/>
        <v>0.10414302640049794</v>
      </c>
      <c r="O338" s="4">
        <f>SUMPRODUCT($M$4:M338,L$20:$L$354)</f>
        <v>7.91389459045974</v>
      </c>
      <c r="P338" s="4">
        <f t="shared" si="286"/>
        <v>1.8621211783502742</v>
      </c>
      <c r="Q338" s="4">
        <f t="shared" si="296"/>
        <v>92.04724911719215</v>
      </c>
      <c r="R338" s="4">
        <f t="shared" si="297"/>
        <v>161.11030644961346</v>
      </c>
      <c r="S338" s="4">
        <f t="shared" si="301"/>
        <v>0.1305146101037529</v>
      </c>
      <c r="T338" s="5">
        <f t="shared" si="298"/>
        <v>482.5114496025859</v>
      </c>
      <c r="U338" s="4">
        <f t="shared" si="287"/>
        <v>493.9836807531695</v>
      </c>
      <c r="V338" s="4">
        <f t="shared" si="278"/>
        <v>0.16522277829529772</v>
      </c>
      <c r="W338" s="4">
        <f>SUMPRODUCT($J$4:J338,$S$20:S$354)</f>
        <v>14.581925047977318</v>
      </c>
      <c r="X338" s="6">
        <f t="shared" si="255"/>
        <v>3.037263900298117</v>
      </c>
      <c r="Y338" s="4">
        <f t="shared" si="288"/>
        <v>2084</v>
      </c>
      <c r="Z338" s="4">
        <f t="shared" si="299"/>
        <v>334</v>
      </c>
      <c r="AA338" s="3">
        <f t="shared" si="264"/>
        <v>114.11</v>
      </c>
      <c r="AB338" s="6">
        <f t="shared" si="289"/>
        <v>220.4453745</v>
      </c>
      <c r="AC338" s="4">
        <f t="shared" si="274"/>
        <v>220.43860714679332</v>
      </c>
      <c r="AD338" s="4">
        <f t="shared" si="275"/>
        <v>8.569020403654854</v>
      </c>
      <c r="AE338" s="4">
        <f aca="true" t="shared" si="304" ref="AE338:AE354">AB338-AC338</f>
        <v>0.006767353206697635</v>
      </c>
      <c r="AF338" s="6">
        <f t="shared" si="265"/>
        <v>1888.9429223941286</v>
      </c>
      <c r="AG338" s="30">
        <f t="shared" si="302"/>
        <v>0.5838704344359427</v>
      </c>
      <c r="AH338" s="3">
        <f t="shared" si="266"/>
        <v>1.4553</v>
      </c>
      <c r="AI338" s="47">
        <f t="shared" si="290"/>
        <v>3.4303</v>
      </c>
      <c r="AJ338" s="4">
        <f t="shared" si="276"/>
        <v>3.0356971239478656</v>
      </c>
      <c r="AK338" s="4">
        <f t="shared" si="256"/>
        <v>120</v>
      </c>
      <c r="AL338" s="4">
        <f t="shared" si="257"/>
        <v>0.3946028760521343</v>
      </c>
      <c r="AM338" s="4">
        <f t="shared" si="267"/>
        <v>364.2836548737439</v>
      </c>
      <c r="AN338" s="26">
        <f t="shared" si="291"/>
        <v>0.3112552626929383</v>
      </c>
      <c r="AO338" s="4">
        <f t="shared" si="292"/>
        <v>0.9775115584017989</v>
      </c>
      <c r="AP338" s="3">
        <f t="shared" si="268"/>
        <v>30</v>
      </c>
      <c r="AQ338" s="3">
        <f t="shared" si="269"/>
        <v>870</v>
      </c>
      <c r="AR338" s="21">
        <f t="shared" si="270"/>
        <v>138</v>
      </c>
      <c r="AS338" s="35">
        <f t="shared" si="279"/>
        <v>0.11669945371742615</v>
      </c>
      <c r="AT338" s="36">
        <f t="shared" si="271"/>
        <v>-0.022745162740556334</v>
      </c>
      <c r="AU338" s="4">
        <f t="shared" si="272"/>
        <v>34.35539316782119</v>
      </c>
      <c r="AV338" s="4">
        <f t="shared" si="258"/>
        <v>0.39292651304849</v>
      </c>
      <c r="AW338" s="4">
        <f t="shared" si="254"/>
        <v>0.029193521721797136</v>
      </c>
      <c r="AX338" s="3">
        <f t="shared" si="273"/>
        <v>67.8</v>
      </c>
      <c r="AY338" s="36">
        <f t="shared" si="259"/>
        <v>-0.4</v>
      </c>
      <c r="AZ338" s="36">
        <f t="shared" si="280"/>
        <v>-0.8000000000000002</v>
      </c>
      <c r="BA338" s="36">
        <f t="shared" si="260"/>
        <v>-0.1</v>
      </c>
      <c r="BB338" s="6">
        <f t="shared" si="253"/>
        <v>3.054509632197285</v>
      </c>
      <c r="BC338" s="6">
        <f t="shared" si="300"/>
        <v>0.016627419500028218</v>
      </c>
      <c r="BD338" s="4">
        <f t="shared" si="293"/>
        <v>0.48662900075661686</v>
      </c>
      <c r="BE338" s="4">
        <f>SUMPRODUCT(BC$4:BC338,$BD$20:BD$354)</f>
        <v>2.13510651764205</v>
      </c>
      <c r="BF338" s="23">
        <f t="shared" si="294"/>
        <v>2.13510651764205</v>
      </c>
      <c r="BG338" s="4">
        <f t="shared" si="261"/>
        <v>1.432465179850278</v>
      </c>
    </row>
    <row r="339" spans="5:59" ht="15">
      <c r="E339" s="1">
        <f t="shared" si="295"/>
        <v>335</v>
      </c>
      <c r="F339" s="1">
        <f t="shared" si="281"/>
        <v>2085</v>
      </c>
      <c r="G339" s="3">
        <f t="shared" si="262"/>
        <v>3.13</v>
      </c>
      <c r="H339" s="3">
        <f t="shared" si="263"/>
        <v>0.43</v>
      </c>
      <c r="I339" s="5">
        <f t="shared" si="282"/>
        <v>0.8768366702233784</v>
      </c>
      <c r="J339" s="5">
        <f t="shared" si="303"/>
        <v>1.2665626317823686</v>
      </c>
      <c r="K339" s="4">
        <f t="shared" si="283"/>
        <v>1.416600697994253</v>
      </c>
      <c r="L339" s="4">
        <f t="shared" si="284"/>
        <v>0.011802131059525628</v>
      </c>
      <c r="M339" s="4">
        <f t="shared" si="277"/>
        <v>9.825339125660216</v>
      </c>
      <c r="N339" s="4">
        <f t="shared" si="285"/>
        <v>0.11595994006532681</v>
      </c>
      <c r="O339" s="4">
        <f>SUMPRODUCT($M$4:M339,L$19:$L$354)</f>
        <v>7.963814874775983</v>
      </c>
      <c r="P339" s="4">
        <f t="shared" si="286"/>
        <v>1.8615242508842327</v>
      </c>
      <c r="Q339" s="4">
        <f t="shared" si="296"/>
        <v>92.48646384020974</v>
      </c>
      <c r="R339" s="4">
        <f t="shared" si="297"/>
        <v>162.13279251917078</v>
      </c>
      <c r="S339" s="4">
        <f t="shared" si="301"/>
        <v>0.1345773361144098</v>
      </c>
      <c r="T339" s="5">
        <f t="shared" si="298"/>
        <v>483.9227459718136</v>
      </c>
      <c r="U339" s="4">
        <f t="shared" si="287"/>
        <v>495.4006297091265</v>
      </c>
      <c r="V339" s="4">
        <f t="shared" si="278"/>
        <v>0.17045062500732727</v>
      </c>
      <c r="W339" s="4">
        <f>SUMPRODUCT($J$4:J339,$S$19:S$354)</f>
        <v>14.650913647571578</v>
      </c>
      <c r="X339" s="6">
        <f t="shared" si="255"/>
        <v>3.0525879397376396</v>
      </c>
      <c r="Y339" s="4">
        <f t="shared" si="288"/>
        <v>2085</v>
      </c>
      <c r="Z339" s="4">
        <f t="shared" si="299"/>
        <v>335</v>
      </c>
      <c r="AA339" s="3">
        <f t="shared" si="264"/>
        <v>114.11</v>
      </c>
      <c r="AB339" s="6">
        <f t="shared" si="289"/>
        <v>220.4453745</v>
      </c>
      <c r="AC339" s="4">
        <f t="shared" si="274"/>
        <v>220.43917592706825</v>
      </c>
      <c r="AD339" s="4">
        <f t="shared" si="275"/>
        <v>8.569028993159952</v>
      </c>
      <c r="AE339" s="4">
        <f t="shared" si="304"/>
        <v>0.006198572931765511</v>
      </c>
      <c r="AF339" s="6">
        <f t="shared" si="265"/>
        <v>1888.9496897473352</v>
      </c>
      <c r="AG339" s="30">
        <f t="shared" si="302"/>
        <v>0.5838732371677526</v>
      </c>
      <c r="AH339" s="3">
        <f t="shared" si="266"/>
        <v>1.4553</v>
      </c>
      <c r="AI339" s="47">
        <f t="shared" si="290"/>
        <v>3.4303</v>
      </c>
      <c r="AJ339" s="4">
        <f t="shared" si="276"/>
        <v>3.0389854812483006</v>
      </c>
      <c r="AK339" s="4">
        <f t="shared" si="256"/>
        <v>120</v>
      </c>
      <c r="AL339" s="4">
        <f t="shared" si="257"/>
        <v>0.3913145187516993</v>
      </c>
      <c r="AM339" s="4">
        <f t="shared" si="267"/>
        <v>364.67825774979605</v>
      </c>
      <c r="AN339" s="26">
        <f t="shared" si="291"/>
        <v>0.3124954123331713</v>
      </c>
      <c r="AO339" s="4">
        <f t="shared" si="292"/>
        <v>0.9775104377495637</v>
      </c>
      <c r="AP339" s="3">
        <f t="shared" si="268"/>
        <v>30</v>
      </c>
      <c r="AQ339" s="3">
        <f t="shared" si="269"/>
        <v>870</v>
      </c>
      <c r="AR339" s="21">
        <f t="shared" si="270"/>
        <v>138</v>
      </c>
      <c r="AS339" s="35">
        <f t="shared" si="279"/>
        <v>0.11669933673911351</v>
      </c>
      <c r="AT339" s="36">
        <f t="shared" si="271"/>
        <v>-0.02274630917495692</v>
      </c>
      <c r="AU339" s="4">
        <f t="shared" si="272"/>
        <v>34.3554110808587</v>
      </c>
      <c r="AV339" s="4">
        <f t="shared" si="258"/>
        <v>0.3929272653960655</v>
      </c>
      <c r="AW339" s="4">
        <f t="shared" si="254"/>
        <v>0.029193661858387635</v>
      </c>
      <c r="AX339" s="3">
        <f t="shared" si="273"/>
        <v>67.8</v>
      </c>
      <c r="AY339" s="36">
        <f t="shared" si="259"/>
        <v>-0.4</v>
      </c>
      <c r="AZ339" s="36">
        <f t="shared" si="280"/>
        <v>-0.8000000000000002</v>
      </c>
      <c r="BA339" s="36">
        <f t="shared" si="260"/>
        <v>-0.1</v>
      </c>
      <c r="BB339" s="6">
        <f t="shared" si="253"/>
        <v>3.071077516493016</v>
      </c>
      <c r="BC339" s="6">
        <f t="shared" si="300"/>
        <v>0.016567884295731083</v>
      </c>
      <c r="BD339" s="4">
        <f t="shared" si="293"/>
        <v>0.469184827000755</v>
      </c>
      <c r="BE339" s="4">
        <f>SUMPRODUCT(BC$4:BC339,$BD$19:BD$354)</f>
        <v>2.1493700040715455</v>
      </c>
      <c r="BF339" s="23">
        <f t="shared" si="294"/>
        <v>2.1493700040715455</v>
      </c>
      <c r="BG339" s="4">
        <f t="shared" si="261"/>
        <v>1.4467286662797736</v>
      </c>
    </row>
    <row r="340" spans="5:59" ht="15">
      <c r="E340" s="1">
        <f t="shared" si="295"/>
        <v>336</v>
      </c>
      <c r="F340" s="1">
        <f t="shared" si="281"/>
        <v>2086</v>
      </c>
      <c r="G340" s="3">
        <f t="shared" si="262"/>
        <v>3.13</v>
      </c>
      <c r="H340" s="3">
        <f t="shared" si="263"/>
        <v>0.43</v>
      </c>
      <c r="I340" s="5">
        <f t="shared" si="282"/>
        <v>0.8765400659538423</v>
      </c>
      <c r="J340" s="5">
        <f t="shared" si="303"/>
        <v>1.26718112797333</v>
      </c>
      <c r="K340" s="4">
        <f t="shared" si="283"/>
        <v>1.4162788060728277</v>
      </c>
      <c r="L340" s="4">
        <f t="shared" si="284"/>
        <v>0.013264703577750543</v>
      </c>
      <c r="M340" s="4">
        <f t="shared" si="277"/>
        <v>9.874509537874145</v>
      </c>
      <c r="N340" s="4">
        <f t="shared" si="285"/>
        <v>0.13098244199557102</v>
      </c>
      <c r="O340" s="4">
        <f>SUMPRODUCT($M$4:M340,L$18:$L$354)</f>
        <v>8.013614977854138</v>
      </c>
      <c r="P340" s="4">
        <f t="shared" si="286"/>
        <v>1.8608945600200073</v>
      </c>
      <c r="Q340" s="4">
        <f t="shared" si="296"/>
        <v>92.92402689177996</v>
      </c>
      <c r="R340" s="4">
        <f t="shared" si="297"/>
        <v>163.15452946101735</v>
      </c>
      <c r="S340" s="4">
        <f t="shared" si="301"/>
        <v>0.13905551555968207</v>
      </c>
      <c r="T340" s="5">
        <f t="shared" si="298"/>
        <v>485.33379210555694</v>
      </c>
      <c r="U340" s="4">
        <f t="shared" si="287"/>
        <v>496.81723040712075</v>
      </c>
      <c r="V340" s="4">
        <f t="shared" si="278"/>
        <v>0.17620852505783088</v>
      </c>
      <c r="W340" s="4">
        <f>SUMPRODUCT($J$4:J340,$S$18:S$354)</f>
        <v>14.719644452527074</v>
      </c>
      <c r="X340" s="6">
        <f t="shared" si="255"/>
        <v>3.06786446153465</v>
      </c>
      <c r="Y340" s="4">
        <f t="shared" si="288"/>
        <v>2086</v>
      </c>
      <c r="Z340" s="4">
        <f t="shared" si="299"/>
        <v>336</v>
      </c>
      <c r="AA340" s="3">
        <f t="shared" si="264"/>
        <v>114.11</v>
      </c>
      <c r="AB340" s="6">
        <f t="shared" si="289"/>
        <v>220.4453745</v>
      </c>
      <c r="AC340" s="4">
        <f t="shared" si="274"/>
        <v>220.43969690221354</v>
      </c>
      <c r="AD340" s="4">
        <f t="shared" si="275"/>
        <v>8.569036860716619</v>
      </c>
      <c r="AE340" s="4">
        <f t="shared" si="304"/>
        <v>0.005677597786473143</v>
      </c>
      <c r="AF340" s="6">
        <f t="shared" si="265"/>
        <v>1888.955888320267</v>
      </c>
      <c r="AG340" s="30">
        <f t="shared" si="302"/>
        <v>0.5838758043320765</v>
      </c>
      <c r="AH340" s="3">
        <f t="shared" si="266"/>
        <v>1.4553</v>
      </c>
      <c r="AI340" s="47">
        <f t="shared" si="290"/>
        <v>3.4303</v>
      </c>
      <c r="AJ340" s="4">
        <f t="shared" si="276"/>
        <v>3.042246435571231</v>
      </c>
      <c r="AK340" s="4">
        <f t="shared" si="256"/>
        <v>120</v>
      </c>
      <c r="AL340" s="4">
        <f t="shared" si="257"/>
        <v>0.3880535644287688</v>
      </c>
      <c r="AM340" s="4">
        <f t="shared" si="267"/>
        <v>365.06957226854774</v>
      </c>
      <c r="AN340" s="26">
        <f t="shared" si="291"/>
        <v>0.31372456497612844</v>
      </c>
      <c r="AO340" s="4">
        <f t="shared" si="292"/>
        <v>0.977509411290189</v>
      </c>
      <c r="AP340" s="3">
        <f t="shared" si="268"/>
        <v>30</v>
      </c>
      <c r="AQ340" s="3">
        <f t="shared" si="269"/>
        <v>870</v>
      </c>
      <c r="AR340" s="21">
        <f t="shared" si="270"/>
        <v>138</v>
      </c>
      <c r="AS340" s="35">
        <f t="shared" si="279"/>
        <v>0.11669922959304099</v>
      </c>
      <c r="AT340" s="36">
        <f t="shared" si="271"/>
        <v>-0.022747359250612394</v>
      </c>
      <c r="AU340" s="4">
        <f t="shared" si="272"/>
        <v>34.35542748829082</v>
      </c>
      <c r="AV340" s="4">
        <f t="shared" si="258"/>
        <v>0.39292795450821455</v>
      </c>
      <c r="AW340" s="4">
        <f t="shared" si="254"/>
        <v>0.029193790216603826</v>
      </c>
      <c r="AX340" s="3">
        <f t="shared" si="273"/>
        <v>67.8</v>
      </c>
      <c r="AY340" s="36">
        <f t="shared" si="259"/>
        <v>-0.4</v>
      </c>
      <c r="AZ340" s="36">
        <f t="shared" si="280"/>
        <v>-0.8000000000000002</v>
      </c>
      <c r="BA340" s="36">
        <f t="shared" si="260"/>
        <v>-0.1</v>
      </c>
      <c r="BB340" s="6">
        <f t="shared" si="253"/>
        <v>3.087586575567673</v>
      </c>
      <c r="BC340" s="6">
        <f t="shared" si="300"/>
        <v>0.01650905907465683</v>
      </c>
      <c r="BD340" s="4">
        <f t="shared" si="293"/>
        <v>0.4505305075103416</v>
      </c>
      <c r="BE340" s="4">
        <f>SUMPRODUCT(BC$4:BC340,$BD$18:BD$354)</f>
        <v>2.1635873591208803</v>
      </c>
      <c r="BF340" s="23">
        <f t="shared" si="294"/>
        <v>2.1635873591208803</v>
      </c>
      <c r="BG340" s="4">
        <f t="shared" si="261"/>
        <v>1.4609460213291083</v>
      </c>
    </row>
    <row r="341" spans="5:59" ht="15">
      <c r="E341" s="1">
        <f t="shared" si="295"/>
        <v>337</v>
      </c>
      <c r="F341" s="1">
        <f t="shared" si="281"/>
        <v>2087</v>
      </c>
      <c r="G341" s="3">
        <f t="shared" si="262"/>
        <v>3.13</v>
      </c>
      <c r="H341" s="3">
        <f t="shared" si="263"/>
        <v>0.43</v>
      </c>
      <c r="I341" s="5">
        <f t="shared" si="282"/>
        <v>0.8762283824847295</v>
      </c>
      <c r="J341" s="5">
        <f t="shared" si="303"/>
        <v>1.267788900926285</v>
      </c>
      <c r="K341" s="4">
        <f t="shared" si="283"/>
        <v>1.4159827165889856</v>
      </c>
      <c r="L341" s="4">
        <f t="shared" si="284"/>
        <v>0.015140245747667758</v>
      </c>
      <c r="M341" s="4">
        <f t="shared" si="277"/>
        <v>9.923528822094605</v>
      </c>
      <c r="N341" s="4">
        <f t="shared" si="285"/>
        <v>0.15024466505057626</v>
      </c>
      <c r="O341" s="4">
        <f>SUMPRODUCT($M$4:M341,L$17:$L$354)</f>
        <v>8.063295966079524</v>
      </c>
      <c r="P341" s="4">
        <f t="shared" si="286"/>
        <v>1.860232856015081</v>
      </c>
      <c r="Q341" s="4">
        <f t="shared" si="296"/>
        <v>93.35995487017172</v>
      </c>
      <c r="R341" s="4">
        <f t="shared" si="297"/>
        <v>164.1755338698333</v>
      </c>
      <c r="S341" s="4">
        <f t="shared" si="301"/>
        <v>0.14401822754431548</v>
      </c>
      <c r="T341" s="5">
        <f t="shared" si="298"/>
        <v>486.7446126299731</v>
      </c>
      <c r="U341" s="4">
        <f t="shared" si="287"/>
        <v>498.2335092131936</v>
      </c>
      <c r="V341" s="4">
        <f t="shared" si="278"/>
        <v>0.18258471041175936</v>
      </c>
      <c r="W341" s="4">
        <f>SUMPRODUCT($J$4:J341,$S$17:S$354)</f>
        <v>14.788120018993325</v>
      </c>
      <c r="X341" s="6">
        <f t="shared" si="255"/>
        <v>3.083094030093272</v>
      </c>
      <c r="Y341" s="4">
        <f t="shared" si="288"/>
        <v>2087</v>
      </c>
      <c r="Z341" s="4">
        <f t="shared" si="299"/>
        <v>337</v>
      </c>
      <c r="AA341" s="3">
        <f t="shared" si="264"/>
        <v>114.11</v>
      </c>
      <c r="AB341" s="6">
        <f t="shared" si="289"/>
        <v>220.4453745</v>
      </c>
      <c r="AC341" s="4">
        <f t="shared" si="274"/>
        <v>220.44017409025471</v>
      </c>
      <c r="AD341" s="4">
        <f t="shared" si="275"/>
        <v>8.569044067006846</v>
      </c>
      <c r="AE341" s="4">
        <f t="shared" si="304"/>
        <v>0.005200409745299339</v>
      </c>
      <c r="AF341" s="6">
        <f t="shared" si="265"/>
        <v>1888.9615659180533</v>
      </c>
      <c r="AG341" s="30">
        <f t="shared" si="302"/>
        <v>0.583878155728718</v>
      </c>
      <c r="AH341" s="3">
        <f t="shared" si="266"/>
        <v>1.4553</v>
      </c>
      <c r="AI341" s="47">
        <f t="shared" si="290"/>
        <v>3.4303</v>
      </c>
      <c r="AJ341" s="4">
        <f t="shared" si="276"/>
        <v>3.0454802152748046</v>
      </c>
      <c r="AK341" s="4">
        <f t="shared" si="256"/>
        <v>120</v>
      </c>
      <c r="AL341" s="4">
        <f t="shared" si="257"/>
        <v>0.3848197847251953</v>
      </c>
      <c r="AM341" s="4">
        <f t="shared" si="267"/>
        <v>365.45762583297653</v>
      </c>
      <c r="AN341" s="26">
        <f t="shared" si="291"/>
        <v>0.31494282430486603</v>
      </c>
      <c r="AO341" s="4">
        <f t="shared" si="292"/>
        <v>0.9775084711061571</v>
      </c>
      <c r="AP341" s="3">
        <f t="shared" si="268"/>
        <v>30</v>
      </c>
      <c r="AQ341" s="3">
        <f t="shared" si="269"/>
        <v>870</v>
      </c>
      <c r="AR341" s="21">
        <f t="shared" si="270"/>
        <v>138</v>
      </c>
      <c r="AS341" s="35">
        <f t="shared" si="279"/>
        <v>0.1166991314527454</v>
      </c>
      <c r="AT341" s="36">
        <f t="shared" si="271"/>
        <v>-0.022748321066911256</v>
      </c>
      <c r="AU341" s="4">
        <f t="shared" si="272"/>
        <v>34.355442516670486</v>
      </c>
      <c r="AV341" s="4">
        <f t="shared" si="258"/>
        <v>0.3929285857001604</v>
      </c>
      <c r="AW341" s="4">
        <f t="shared" si="254"/>
        <v>0.029193907786435904</v>
      </c>
      <c r="AX341" s="3">
        <f t="shared" si="273"/>
        <v>67.8</v>
      </c>
      <c r="AY341" s="36">
        <f t="shared" si="259"/>
        <v>-0.4</v>
      </c>
      <c r="AZ341" s="36">
        <f t="shared" si="280"/>
        <v>-0.8000000000000002</v>
      </c>
      <c r="BA341" s="36">
        <f t="shared" si="260"/>
        <v>-0.1</v>
      </c>
      <c r="BB341" s="6">
        <f t="shared" si="253"/>
        <v>3.104037503613452</v>
      </c>
      <c r="BC341" s="6">
        <f t="shared" si="300"/>
        <v>0.01645092804577919</v>
      </c>
      <c r="BD341" s="4">
        <f t="shared" si="293"/>
        <v>0.43057911848532887</v>
      </c>
      <c r="BE341" s="4">
        <f>SUMPRODUCT(BC$4:BC341,$BD$17:BD$354)</f>
        <v>2.1777592926180116</v>
      </c>
      <c r="BF341" s="23">
        <f t="shared" si="294"/>
        <v>2.1777592926180116</v>
      </c>
      <c r="BG341" s="4">
        <f t="shared" si="261"/>
        <v>1.4751179548262396</v>
      </c>
    </row>
    <row r="342" spans="5:59" ht="15">
      <c r="E342" s="1">
        <f t="shared" si="295"/>
        <v>338</v>
      </c>
      <c r="F342" s="1">
        <f t="shared" si="281"/>
        <v>2088</v>
      </c>
      <c r="G342" s="3">
        <f t="shared" si="262"/>
        <v>3.13</v>
      </c>
      <c r="H342" s="3">
        <f t="shared" si="263"/>
        <v>0.43</v>
      </c>
      <c r="I342" s="5">
        <f t="shared" si="282"/>
        <v>0.8759019641288749</v>
      </c>
      <c r="J342" s="5">
        <f t="shared" si="303"/>
        <v>1.2683861524649152</v>
      </c>
      <c r="K342" s="4">
        <f t="shared" si="283"/>
        <v>1.4157118834062101</v>
      </c>
      <c r="L342" s="4">
        <f t="shared" si="284"/>
        <v>0.017554838716897708</v>
      </c>
      <c r="M342" s="4">
        <f t="shared" si="277"/>
        <v>9.97239875718148</v>
      </c>
      <c r="N342" s="4">
        <f t="shared" si="285"/>
        <v>0.17506385180291203</v>
      </c>
      <c r="O342" s="4">
        <f>SUMPRODUCT($M$4:M342,L$16:$L$354)</f>
        <v>8.112858887335879</v>
      </c>
      <c r="P342" s="4">
        <f t="shared" si="286"/>
        <v>1.8595398698456016</v>
      </c>
      <c r="Q342" s="4">
        <f t="shared" si="296"/>
        <v>93.79426398786927</v>
      </c>
      <c r="R342" s="4">
        <f t="shared" si="297"/>
        <v>165.19582181099366</v>
      </c>
      <c r="S342" s="4">
        <f t="shared" si="301"/>
        <v>0.14954941156059542</v>
      </c>
      <c r="T342" s="5">
        <f t="shared" si="298"/>
        <v>488.1552314303388</v>
      </c>
      <c r="U342" s="4">
        <f t="shared" si="287"/>
        <v>499.6494919297826</v>
      </c>
      <c r="V342" s="4">
        <f t="shared" si="278"/>
        <v>0.18968640273273574</v>
      </c>
      <c r="W342" s="4">
        <f>SUMPRODUCT($J$4:J342,$S$16:S$354)</f>
        <v>14.856342850828039</v>
      </c>
      <c r="X342" s="6">
        <f t="shared" si="255"/>
        <v>3.098277198079032</v>
      </c>
      <c r="Y342" s="4">
        <f t="shared" si="288"/>
        <v>2088</v>
      </c>
      <c r="Z342" s="4">
        <f t="shared" si="299"/>
        <v>338</v>
      </c>
      <c r="AA342" s="3">
        <f t="shared" si="264"/>
        <v>114.11</v>
      </c>
      <c r="AB342" s="6">
        <f t="shared" si="289"/>
        <v>220.4453745</v>
      </c>
      <c r="AC342" s="4">
        <f t="shared" si="274"/>
        <v>220.44061117148962</v>
      </c>
      <c r="AD342" s="4">
        <f t="shared" si="275"/>
        <v>8.569050667611766</v>
      </c>
      <c r="AE342" s="4">
        <f t="shared" si="304"/>
        <v>0.004763328510392739</v>
      </c>
      <c r="AF342" s="6">
        <f t="shared" si="265"/>
        <v>1888.9667663277987</v>
      </c>
      <c r="AG342" s="30">
        <f t="shared" si="302"/>
        <v>0.583880309493191</v>
      </c>
      <c r="AH342" s="3">
        <f t="shared" si="266"/>
        <v>1.4553</v>
      </c>
      <c r="AI342" s="47">
        <f t="shared" si="290"/>
        <v>3.4303</v>
      </c>
      <c r="AJ342" s="4">
        <f t="shared" si="276"/>
        <v>3.048687046814181</v>
      </c>
      <c r="AK342" s="4">
        <f t="shared" si="256"/>
        <v>120</v>
      </c>
      <c r="AL342" s="4">
        <f t="shared" si="257"/>
        <v>0.3816129531858188</v>
      </c>
      <c r="AM342" s="4">
        <f t="shared" si="267"/>
        <v>365.84244561770174</v>
      </c>
      <c r="AN342" s="26">
        <f t="shared" si="291"/>
        <v>0.31615029290988006</v>
      </c>
      <c r="AO342" s="4">
        <f t="shared" si="292"/>
        <v>0.977507609945539</v>
      </c>
      <c r="AP342" s="3">
        <f t="shared" si="268"/>
        <v>30</v>
      </c>
      <c r="AQ342" s="3">
        <f t="shared" si="269"/>
        <v>870</v>
      </c>
      <c r="AR342" s="21">
        <f t="shared" si="270"/>
        <v>138</v>
      </c>
      <c r="AS342" s="35">
        <f t="shared" si="279"/>
        <v>0.11669904156124036</v>
      </c>
      <c r="AT342" s="36">
        <f t="shared" si="271"/>
        <v>-0.02274920204239424</v>
      </c>
      <c r="AU342" s="4">
        <f t="shared" si="272"/>
        <v>34.35545628191241</v>
      </c>
      <c r="AV342" s="4">
        <f t="shared" si="258"/>
        <v>0.3929291638403212</v>
      </c>
      <c r="AW342" s="4">
        <f t="shared" si="254"/>
        <v>0.029194015474659555</v>
      </c>
      <c r="AX342" s="3">
        <f t="shared" si="273"/>
        <v>67.8</v>
      </c>
      <c r="AY342" s="36">
        <f t="shared" si="259"/>
        <v>-0.4</v>
      </c>
      <c r="AZ342" s="36">
        <f t="shared" si="280"/>
        <v>-0.8000000000000002</v>
      </c>
      <c r="BA342" s="36">
        <f t="shared" si="260"/>
        <v>-0.1</v>
      </c>
      <c r="BB342" s="6">
        <f t="shared" si="253"/>
        <v>3.1204309797970833</v>
      </c>
      <c r="BC342" s="6">
        <f t="shared" si="300"/>
        <v>0.016393476183631073</v>
      </c>
      <c r="BD342" s="4">
        <f t="shared" si="293"/>
        <v>0.40923748544651534</v>
      </c>
      <c r="BE342" s="4">
        <f>SUMPRODUCT(BC$4:BC342,$BD$16:BD$354)</f>
        <v>2.1918864967483804</v>
      </c>
      <c r="BF342" s="23">
        <f t="shared" si="294"/>
        <v>2.1918864967483804</v>
      </c>
      <c r="BG342" s="4">
        <f t="shared" si="261"/>
        <v>1.4892451589566085</v>
      </c>
    </row>
    <row r="343" spans="5:59" ht="15">
      <c r="E343" s="1">
        <f t="shared" si="295"/>
        <v>339</v>
      </c>
      <c r="F343" s="1">
        <f t="shared" si="281"/>
        <v>2089</v>
      </c>
      <c r="G343" s="3">
        <f t="shared" si="262"/>
        <v>3.13</v>
      </c>
      <c r="H343" s="3">
        <f t="shared" si="263"/>
        <v>0.43</v>
      </c>
      <c r="I343" s="5">
        <f t="shared" si="282"/>
        <v>0.8755611465049873</v>
      </c>
      <c r="J343" s="5">
        <f t="shared" si="303"/>
        <v>1.268973097826537</v>
      </c>
      <c r="K343" s="4">
        <f t="shared" si="283"/>
        <v>1.4154657556684755</v>
      </c>
      <c r="L343" s="4">
        <f t="shared" si="284"/>
        <v>0.020663391151078233</v>
      </c>
      <c r="M343" s="4">
        <f t="shared" si="277"/>
        <v>10.021121085332659</v>
      </c>
      <c r="N343" s="4">
        <f t="shared" si="285"/>
        <v>0.20707034475854635</v>
      </c>
      <c r="O343" s="4">
        <f>SUMPRODUCT($M$4:M343,L$15:$L$354)</f>
        <v>8.162304771302571</v>
      </c>
      <c r="P343" s="4">
        <f t="shared" si="286"/>
        <v>1.8588163140300882</v>
      </c>
      <c r="Q343" s="4">
        <f t="shared" si="296"/>
        <v>94.22697012569387</v>
      </c>
      <c r="R343" s="4">
        <f t="shared" si="297"/>
        <v>166.21540893557622</v>
      </c>
      <c r="S343" s="4">
        <f t="shared" si="301"/>
        <v>0.15575258205287604</v>
      </c>
      <c r="T343" s="5">
        <f t="shared" si="298"/>
        <v>489.56567178001575</v>
      </c>
      <c r="U343" s="4">
        <f t="shared" si="287"/>
        <v>501.0652038131888</v>
      </c>
      <c r="V343" s="4">
        <f t="shared" si="278"/>
        <v>0.19764583654212</v>
      </c>
      <c r="W343" s="4">
        <f>SUMPRODUCT($J$4:J343,$S$15:S$354)</f>
        <v>14.924315422408874</v>
      </c>
      <c r="X343" s="6">
        <f t="shared" si="255"/>
        <v>3.1134145067671155</v>
      </c>
      <c r="Y343" s="4">
        <f t="shared" si="288"/>
        <v>2089</v>
      </c>
      <c r="Z343" s="4">
        <f t="shared" si="299"/>
        <v>339</v>
      </c>
      <c r="AA343" s="3">
        <f t="shared" si="264"/>
        <v>114.11</v>
      </c>
      <c r="AB343" s="6">
        <f t="shared" si="289"/>
        <v>220.4453745</v>
      </c>
      <c r="AC343" s="4">
        <f t="shared" si="274"/>
        <v>220.44101151687755</v>
      </c>
      <c r="AD343" s="4">
        <f t="shared" si="275"/>
        <v>8.569056713440476</v>
      </c>
      <c r="AE343" s="4">
        <f t="shared" si="304"/>
        <v>0.004362983122462083</v>
      </c>
      <c r="AF343" s="6">
        <f t="shared" si="265"/>
        <v>1888.971529656309</v>
      </c>
      <c r="AG343" s="30">
        <f t="shared" si="302"/>
        <v>0.5838822822366273</v>
      </c>
      <c r="AH343" s="3">
        <f t="shared" si="266"/>
        <v>1.4553</v>
      </c>
      <c r="AI343" s="47">
        <f t="shared" si="290"/>
        <v>3.4303</v>
      </c>
      <c r="AJ343" s="4">
        <f t="shared" si="276"/>
        <v>3.0518671547573963</v>
      </c>
      <c r="AK343" s="4">
        <f t="shared" si="256"/>
        <v>120</v>
      </c>
      <c r="AL343" s="4">
        <f t="shared" si="257"/>
        <v>0.37843284524260357</v>
      </c>
      <c r="AM343" s="4">
        <f t="shared" si="267"/>
        <v>366.22405857088756</v>
      </c>
      <c r="AN343" s="26">
        <f t="shared" si="291"/>
        <v>0.3173470723028113</v>
      </c>
      <c r="AO343" s="4">
        <f t="shared" si="292"/>
        <v>0.9775068211660303</v>
      </c>
      <c r="AP343" s="3">
        <f t="shared" si="268"/>
        <v>30</v>
      </c>
      <c r="AQ343" s="3">
        <f t="shared" si="269"/>
        <v>870</v>
      </c>
      <c r="AR343" s="21">
        <f t="shared" si="270"/>
        <v>138</v>
      </c>
      <c r="AS343" s="35">
        <f t="shared" si="279"/>
        <v>0.11669895922517473</v>
      </c>
      <c r="AT343" s="36">
        <f t="shared" si="271"/>
        <v>-0.02275000897199649</v>
      </c>
      <c r="AU343" s="4">
        <f t="shared" si="272"/>
        <v>34.355468890187446</v>
      </c>
      <c r="AV343" s="4">
        <f t="shared" si="258"/>
        <v>0.39292969338787276</v>
      </c>
      <c r="AW343" s="4">
        <f t="shared" si="254"/>
        <v>0.029194114111831367</v>
      </c>
      <c r="AX343" s="3">
        <f t="shared" si="273"/>
        <v>67.8</v>
      </c>
      <c r="AY343" s="36">
        <f t="shared" si="259"/>
        <v>-0.4</v>
      </c>
      <c r="AZ343" s="36">
        <f t="shared" si="280"/>
        <v>-0.8000000000000002</v>
      </c>
      <c r="BA343" s="36">
        <f t="shared" si="260"/>
        <v>-0.1</v>
      </c>
      <c r="BB343" s="6">
        <f t="shared" si="253"/>
        <v>3.136767668806258</v>
      </c>
      <c r="BC343" s="6">
        <f t="shared" si="300"/>
        <v>0.01633668900917451</v>
      </c>
      <c r="BD343" s="4">
        <f t="shared" si="293"/>
        <v>0.38640573373404824</v>
      </c>
      <c r="BE343" s="4">
        <f>SUMPRODUCT(BC$4:BC343,$BD$15:BD$354)</f>
        <v>2.2059696465505882</v>
      </c>
      <c r="BF343" s="23">
        <f t="shared" si="294"/>
        <v>2.2059696465505882</v>
      </c>
      <c r="BG343" s="4">
        <f t="shared" si="261"/>
        <v>1.5033283087588163</v>
      </c>
    </row>
    <row r="344" spans="5:59" ht="15">
      <c r="E344" s="1">
        <f t="shared" si="295"/>
        <v>340</v>
      </c>
      <c r="F344" s="1">
        <f t="shared" si="281"/>
        <v>2090</v>
      </c>
      <c r="G344" s="3">
        <f t="shared" si="262"/>
        <v>3.13</v>
      </c>
      <c r="H344" s="3">
        <f t="shared" si="263"/>
        <v>0.43</v>
      </c>
      <c r="I344" s="5">
        <f t="shared" si="282"/>
        <v>0.8752062565493374</v>
      </c>
      <c r="J344" s="5">
        <f t="shared" si="303"/>
        <v>1.269549938966187</v>
      </c>
      <c r="K344" s="4">
        <f t="shared" si="283"/>
        <v>1.4152438044844757</v>
      </c>
      <c r="L344" s="4">
        <f t="shared" si="284"/>
        <v>0.024647927334725206</v>
      </c>
      <c r="M344" s="4">
        <f t="shared" si="277"/>
        <v>10.06969751242511</v>
      </c>
      <c r="N344" s="4">
        <f t="shared" si="285"/>
        <v>0.24819717256891727</v>
      </c>
      <c r="O344" s="4">
        <f>SUMPRODUCT($M$4:M344,L$14:$L$354)</f>
        <v>8.211634629770867</v>
      </c>
      <c r="P344" s="4">
        <f t="shared" si="286"/>
        <v>1.8580628826542434</v>
      </c>
      <c r="Q344" s="4">
        <f t="shared" si="296"/>
        <v>94.65808897748833</v>
      </c>
      <c r="R344" s="4">
        <f t="shared" si="297"/>
        <v>167.23431081201164</v>
      </c>
      <c r="S344" s="4">
        <f t="shared" si="301"/>
        <v>0.16275851301208719</v>
      </c>
      <c r="T344" s="5">
        <f t="shared" si="298"/>
        <v>490.97595670796306</v>
      </c>
      <c r="U344" s="4">
        <f t="shared" si="287"/>
        <v>502.4806695688573</v>
      </c>
      <c r="V344" s="4">
        <f t="shared" si="278"/>
        <v>0.20663006026072264</v>
      </c>
      <c r="W344" s="4">
        <f>SUMPRODUCT($J$4:J344,$S$14:S$354)</f>
        <v>14.992040161599572</v>
      </c>
      <c r="X344" s="6">
        <f t="shared" si="255"/>
        <v>3.1285064861483356</v>
      </c>
      <c r="Y344" s="4">
        <f t="shared" si="288"/>
        <v>2090</v>
      </c>
      <c r="Z344" s="4">
        <f t="shared" si="299"/>
        <v>340</v>
      </c>
      <c r="AA344" s="3">
        <f t="shared" si="264"/>
        <v>114.11</v>
      </c>
      <c r="AB344" s="6">
        <f t="shared" si="289"/>
        <v>220.4453745</v>
      </c>
      <c r="AC344" s="4">
        <f t="shared" si="274"/>
        <v>220.44137821404163</v>
      </c>
      <c r="AD344" s="4">
        <f t="shared" si="275"/>
        <v>8.569062251122816</v>
      </c>
      <c r="AE344" s="4">
        <f t="shared" si="304"/>
        <v>0.003996285958379531</v>
      </c>
      <c r="AF344" s="6">
        <f t="shared" si="265"/>
        <v>1888.9758926394315</v>
      </c>
      <c r="AG344" s="30">
        <f t="shared" si="302"/>
        <v>0.5838840891739197</v>
      </c>
      <c r="AH344" s="3">
        <f t="shared" si="266"/>
        <v>1.4553</v>
      </c>
      <c r="AI344" s="47">
        <f t="shared" si="290"/>
        <v>3.4303</v>
      </c>
      <c r="AJ344" s="4">
        <f t="shared" si="276"/>
        <v>3.0550207618010847</v>
      </c>
      <c r="AK344" s="4">
        <f t="shared" si="256"/>
        <v>120</v>
      </c>
      <c r="AL344" s="4">
        <f t="shared" si="257"/>
        <v>0.3752792381989152</v>
      </c>
      <c r="AM344" s="4">
        <f t="shared" si="267"/>
        <v>366.6024914161302</v>
      </c>
      <c r="AN344" s="26">
        <f t="shared" si="291"/>
        <v>0.31853326292994155</v>
      </c>
      <c r="AO344" s="4">
        <f t="shared" si="292"/>
        <v>0.9775060986836941</v>
      </c>
      <c r="AP344" s="3">
        <f t="shared" si="268"/>
        <v>30</v>
      </c>
      <c r="AQ344" s="3">
        <f t="shared" si="269"/>
        <v>870</v>
      </c>
      <c r="AR344" s="21">
        <f t="shared" si="270"/>
        <v>138</v>
      </c>
      <c r="AS344" s="35">
        <f t="shared" si="279"/>
        <v>0.11669888380948203</v>
      </c>
      <c r="AT344" s="36">
        <f t="shared" si="271"/>
        <v>-0.02275074807947641</v>
      </c>
      <c r="AU344" s="4">
        <f t="shared" si="272"/>
        <v>34.35548043874182</v>
      </c>
      <c r="AV344" s="4">
        <f t="shared" si="258"/>
        <v>0.39293017842715655</v>
      </c>
      <c r="AW344" s="4">
        <f t="shared" si="254"/>
        <v>0.029194204458695985</v>
      </c>
      <c r="AX344" s="3">
        <f t="shared" si="273"/>
        <v>67.8</v>
      </c>
      <c r="AY344" s="36">
        <f t="shared" si="259"/>
        <v>-0.4</v>
      </c>
      <c r="AZ344" s="36">
        <f t="shared" si="280"/>
        <v>-0.8000000000000002</v>
      </c>
      <c r="BA344" s="36">
        <f t="shared" si="260"/>
        <v>-0.1</v>
      </c>
      <c r="BB344" s="6">
        <f t="shared" si="253"/>
        <v>3.1530482211380493</v>
      </c>
      <c r="BC344" s="6">
        <f t="shared" si="300"/>
        <v>0.016280552331791487</v>
      </c>
      <c r="BD344" s="4">
        <f t="shared" si="293"/>
        <v>0.3619768066811462</v>
      </c>
      <c r="BE344" s="4">
        <f>SUMPRODUCT(BC$4:BC344,$BD$14:BD$354)</f>
        <v>2.2200094004044906</v>
      </c>
      <c r="BF344" s="23">
        <f t="shared" si="294"/>
        <v>2.2200094004044906</v>
      </c>
      <c r="BG344" s="4">
        <f t="shared" si="261"/>
        <v>1.5173680626127186</v>
      </c>
    </row>
    <row r="345" spans="5:59" ht="15">
      <c r="E345" s="1">
        <f t="shared" si="295"/>
        <v>341</v>
      </c>
      <c r="F345" s="1">
        <f t="shared" si="281"/>
        <v>2091</v>
      </c>
      <c r="G345" s="3">
        <f t="shared" si="262"/>
        <v>3.13</v>
      </c>
      <c r="H345" s="3">
        <f t="shared" si="263"/>
        <v>0.43</v>
      </c>
      <c r="I345" s="5">
        <f t="shared" si="282"/>
        <v>0.8748376129678258</v>
      </c>
      <c r="J345" s="5">
        <f t="shared" si="303"/>
        <v>1.270116860868726</v>
      </c>
      <c r="K345" s="4">
        <f t="shared" si="283"/>
        <v>1.4150455261634483</v>
      </c>
      <c r="L345" s="4">
        <f t="shared" si="284"/>
        <v>0.029707146913229225</v>
      </c>
      <c r="M345" s="4">
        <f t="shared" si="277"/>
        <v>10.11812970926168</v>
      </c>
      <c r="N345" s="4">
        <f t="shared" si="285"/>
        <v>0.30058076576014603</v>
      </c>
      <c r="O345" s="4">
        <f>SUMPRODUCT($M$4:M345,L$13:$L$354)</f>
        <v>8.260849456930986</v>
      </c>
      <c r="P345" s="4">
        <f t="shared" si="286"/>
        <v>1.8572802523306944</v>
      </c>
      <c r="Q345" s="4">
        <f t="shared" si="296"/>
        <v>95.08763594207906</v>
      </c>
      <c r="R345" s="4">
        <f t="shared" si="297"/>
        <v>168.2525426639067</v>
      </c>
      <c r="S345" s="4">
        <f t="shared" si="301"/>
        <v>0.17073889759492186</v>
      </c>
      <c r="T345" s="5">
        <f t="shared" si="298"/>
        <v>492.3861087152947</v>
      </c>
      <c r="U345" s="4">
        <f t="shared" si="287"/>
        <v>503.8959133733418</v>
      </c>
      <c r="V345" s="4">
        <f t="shared" si="278"/>
        <v>0.21685835264144904</v>
      </c>
      <c r="W345" s="4">
        <f>SUMPRODUCT($J$4:J345,$S$13:S$354)</f>
        <v>15.059519442414045</v>
      </c>
      <c r="X345" s="6">
        <f t="shared" si="255"/>
        <v>3.1435536553164916</v>
      </c>
      <c r="Y345" s="4">
        <f t="shared" si="288"/>
        <v>2091</v>
      </c>
      <c r="Z345" s="4">
        <f t="shared" si="299"/>
        <v>341</v>
      </c>
      <c r="AA345" s="3">
        <f t="shared" si="264"/>
        <v>114.11</v>
      </c>
      <c r="AB345" s="6">
        <f t="shared" si="289"/>
        <v>220.4453745</v>
      </c>
      <c r="AC345" s="4">
        <f t="shared" si="274"/>
        <v>220.44171409108492</v>
      </c>
      <c r="AD345" s="4">
        <f t="shared" si="275"/>
        <v>8.569067323369103</v>
      </c>
      <c r="AE345" s="4">
        <f t="shared" si="304"/>
        <v>0.0036604089150955588</v>
      </c>
      <c r="AF345" s="6">
        <f t="shared" si="265"/>
        <v>1888.97988892539</v>
      </c>
      <c r="AG345" s="30">
        <f t="shared" si="302"/>
        <v>0.5838857442410922</v>
      </c>
      <c r="AH345" s="3">
        <f t="shared" si="266"/>
        <v>1.4553</v>
      </c>
      <c r="AI345" s="47">
        <f t="shared" si="290"/>
        <v>3.4303</v>
      </c>
      <c r="AJ345" s="4">
        <f t="shared" si="276"/>
        <v>3.058148088786076</v>
      </c>
      <c r="AK345" s="4">
        <f t="shared" si="256"/>
        <v>120</v>
      </c>
      <c r="AL345" s="4">
        <f t="shared" si="257"/>
        <v>0.372151911213924</v>
      </c>
      <c r="AM345" s="4">
        <f t="shared" si="267"/>
        <v>366.9777706543291</v>
      </c>
      <c r="AN345" s="26">
        <f t="shared" si="291"/>
        <v>0.3197089641854758</v>
      </c>
      <c r="AO345" s="4">
        <f t="shared" si="292"/>
        <v>0.9775054369260157</v>
      </c>
      <c r="AP345" s="3">
        <f t="shared" si="268"/>
        <v>30</v>
      </c>
      <c r="AQ345" s="3">
        <f t="shared" si="269"/>
        <v>870</v>
      </c>
      <c r="AR345" s="21">
        <f t="shared" si="270"/>
        <v>138</v>
      </c>
      <c r="AS345" s="35">
        <f t="shared" si="279"/>
        <v>0.1166988147324801</v>
      </c>
      <c r="AT345" s="36">
        <f t="shared" si="271"/>
        <v>-0.022751425065434216</v>
      </c>
      <c r="AU345" s="4">
        <f t="shared" si="272"/>
        <v>34.35549101664741</v>
      </c>
      <c r="AV345" s="4">
        <f t="shared" si="258"/>
        <v>0.3929306226991914</v>
      </c>
      <c r="AW345" s="4">
        <f t="shared" si="254"/>
        <v>0.02919428721205461</v>
      </c>
      <c r="AX345" s="3">
        <f t="shared" si="273"/>
        <v>67.8</v>
      </c>
      <c r="AY345" s="36">
        <f t="shared" si="259"/>
        <v>-0.4</v>
      </c>
      <c r="AZ345" s="36">
        <f t="shared" si="280"/>
        <v>-0.8000000000000002</v>
      </c>
      <c r="BA345" s="36">
        <f t="shared" si="260"/>
        <v>-0.1</v>
      </c>
      <c r="BB345" s="6">
        <f t="shared" si="253"/>
        <v>3.169273273654305</v>
      </c>
      <c r="BC345" s="6">
        <f t="shared" si="300"/>
        <v>0.016225052516255722</v>
      </c>
      <c r="BD345" s="4">
        <f t="shared" si="293"/>
        <v>0.3358359491384864</v>
      </c>
      <c r="BE345" s="4">
        <f>SUMPRODUCT(BC$4:BC345,$BD$13:BD$354)</f>
        <v>2.234006400499757</v>
      </c>
      <c r="BF345" s="23">
        <f t="shared" si="294"/>
        <v>2.234006400499757</v>
      </c>
      <c r="BG345" s="4">
        <f t="shared" si="261"/>
        <v>1.531365062707985</v>
      </c>
    </row>
    <row r="346" spans="5:59" ht="15">
      <c r="E346" s="1">
        <f t="shared" si="295"/>
        <v>342</v>
      </c>
      <c r="F346" s="1">
        <f t="shared" si="281"/>
        <v>2092</v>
      </c>
      <c r="G346" s="3">
        <f t="shared" si="262"/>
        <v>3.13</v>
      </c>
      <c r="H346" s="3">
        <f t="shared" si="263"/>
        <v>0.43</v>
      </c>
      <c r="I346" s="5">
        <f t="shared" si="282"/>
        <v>0.8744555267280234</v>
      </c>
      <c r="J346" s="5">
        <f t="shared" si="303"/>
        <v>1.2706740569009214</v>
      </c>
      <c r="K346" s="4">
        <f t="shared" si="283"/>
        <v>1.414870416371055</v>
      </c>
      <c r="L346" s="4">
        <f t="shared" si="284"/>
        <v>0.036028941082276084</v>
      </c>
      <c r="M346" s="4">
        <f t="shared" si="277"/>
        <v>10.166419312906818</v>
      </c>
      <c r="N346" s="4">
        <f t="shared" si="285"/>
        <v>0.36628532244243345</v>
      </c>
      <c r="O346" s="4">
        <f>SUMPRODUCT($M$4:M346,L$12:$L$354)</f>
        <v>8.309950229663224</v>
      </c>
      <c r="P346" s="4">
        <f t="shared" si="286"/>
        <v>1.856469083243594</v>
      </c>
      <c r="Q346" s="4">
        <f t="shared" si="296"/>
        <v>95.51562607674765</v>
      </c>
      <c r="R346" s="4">
        <f t="shared" si="297"/>
        <v>169.2701192497233</v>
      </c>
      <c r="S346" s="4">
        <f t="shared" si="301"/>
        <v>0.17993247801526097</v>
      </c>
      <c r="T346" s="5">
        <f t="shared" si="298"/>
        <v>493.7961496465076</v>
      </c>
      <c r="U346" s="4">
        <f t="shared" si="287"/>
        <v>505.31095889950524</v>
      </c>
      <c r="V346" s="4">
        <f t="shared" si="278"/>
        <v>0.2286355318078875</v>
      </c>
      <c r="W346" s="4">
        <f>SUMPRODUCT($J$4:J346,$S$12:S$354)</f>
        <v>15.126755606555147</v>
      </c>
      <c r="X346" s="6">
        <f t="shared" si="255"/>
        <v>3.158556522883361</v>
      </c>
      <c r="Y346" s="4">
        <f t="shared" si="288"/>
        <v>2092</v>
      </c>
      <c r="Z346" s="4">
        <f t="shared" si="299"/>
        <v>342</v>
      </c>
      <c r="AA346" s="3">
        <f t="shared" si="264"/>
        <v>114.11</v>
      </c>
      <c r="AB346" s="6">
        <f t="shared" si="289"/>
        <v>220.4453745</v>
      </c>
      <c r="AC346" s="4">
        <f t="shared" si="274"/>
        <v>220.44202173840497</v>
      </c>
      <c r="AD346" s="4">
        <f t="shared" si="275"/>
        <v>8.569071969299626</v>
      </c>
      <c r="AE346" s="4">
        <f t="shared" si="304"/>
        <v>0.0033527615950390555</v>
      </c>
      <c r="AF346" s="6">
        <f t="shared" si="265"/>
        <v>1888.983549334305</v>
      </c>
      <c r="AG346" s="30">
        <f t="shared" si="302"/>
        <v>0.583887260202802</v>
      </c>
      <c r="AH346" s="3">
        <f t="shared" si="266"/>
        <v>1.4553</v>
      </c>
      <c r="AI346" s="47">
        <f t="shared" si="290"/>
        <v>3.4303</v>
      </c>
      <c r="AJ346" s="4">
        <f t="shared" si="276"/>
        <v>3.0612493547128583</v>
      </c>
      <c r="AK346" s="4">
        <f t="shared" si="256"/>
        <v>120</v>
      </c>
      <c r="AL346" s="4">
        <f t="shared" si="257"/>
        <v>0.3690506452871416</v>
      </c>
      <c r="AM346" s="4">
        <f t="shared" si="267"/>
        <v>367.349922565543</v>
      </c>
      <c r="AN346" s="26">
        <f t="shared" si="291"/>
        <v>0.3208742744246206</v>
      </c>
      <c r="AO346" s="4">
        <f t="shared" si="292"/>
        <v>0.9775048307889046</v>
      </c>
      <c r="AP346" s="3">
        <f t="shared" si="268"/>
        <v>30</v>
      </c>
      <c r="AQ346" s="3">
        <f t="shared" si="269"/>
        <v>870</v>
      </c>
      <c r="AR346" s="21">
        <f t="shared" si="270"/>
        <v>138</v>
      </c>
      <c r="AS346" s="35">
        <f t="shared" si="279"/>
        <v>0.11669875146138291</v>
      </c>
      <c r="AT346" s="36">
        <f t="shared" si="271"/>
        <v>-0.022752045151293677</v>
      </c>
      <c r="AU346" s="4">
        <f t="shared" si="272"/>
        <v>34.355500705488964</v>
      </c>
      <c r="AV346" s="4">
        <f t="shared" si="258"/>
        <v>0.3929310296305365</v>
      </c>
      <c r="AW346" s="4">
        <f t="shared" si="254"/>
        <v>0.0291943630101401</v>
      </c>
      <c r="AX346" s="3">
        <f t="shared" si="273"/>
        <v>67.8</v>
      </c>
      <c r="AY346" s="36">
        <f t="shared" si="259"/>
        <v>-0.4</v>
      </c>
      <c r="AZ346" s="36">
        <f t="shared" si="280"/>
        <v>-0.8000000000000002</v>
      </c>
      <c r="BA346" s="36">
        <f t="shared" si="260"/>
        <v>-0.1</v>
      </c>
      <c r="BB346" s="6">
        <f t="shared" si="253"/>
        <v>3.18544345015146</v>
      </c>
      <c r="BC346" s="6">
        <f t="shared" si="300"/>
        <v>0.01617017649715491</v>
      </c>
      <c r="BD346" s="4">
        <f t="shared" si="293"/>
        <v>0.3078601538575368</v>
      </c>
      <c r="BE346" s="4">
        <f>SUMPRODUCT(BC$4:BC346,$BD$12:BD$354)</f>
        <v>2.2479612732991368</v>
      </c>
      <c r="BF346" s="23">
        <f t="shared" si="294"/>
        <v>2.2479612732991368</v>
      </c>
      <c r="BG346" s="4">
        <f t="shared" si="261"/>
        <v>1.5453199355073648</v>
      </c>
    </row>
    <row r="347" spans="5:59" ht="15">
      <c r="E347" s="1">
        <f t="shared" si="295"/>
        <v>343</v>
      </c>
      <c r="F347" s="1">
        <f t="shared" si="281"/>
        <v>2093</v>
      </c>
      <c r="G347" s="3">
        <f t="shared" si="262"/>
        <v>3.13</v>
      </c>
      <c r="H347" s="3">
        <f t="shared" si="263"/>
        <v>0.43</v>
      </c>
      <c r="I347" s="5">
        <f t="shared" si="282"/>
        <v>0.8740603011148705</v>
      </c>
      <c r="J347" s="5">
        <f t="shared" si="303"/>
        <v>1.2712217179770606</v>
      </c>
      <c r="K347" s="4">
        <f t="shared" si="283"/>
        <v>1.414717980908069</v>
      </c>
      <c r="L347" s="4">
        <f t="shared" si="284"/>
        <v>0.04373135743261754</v>
      </c>
      <c r="M347" s="4">
        <f t="shared" si="277"/>
        <v>10.214567927121262</v>
      </c>
      <c r="N347" s="4">
        <f t="shared" si="285"/>
        <v>0.44669692104069114</v>
      </c>
      <c r="O347" s="4">
        <f>SUMPRODUCT($M$4:M347,L$11:$L$354)</f>
        <v>8.358937907854392</v>
      </c>
      <c r="P347" s="4">
        <f t="shared" si="286"/>
        <v>1.8556300192668704</v>
      </c>
      <c r="Q347" s="4">
        <f t="shared" si="296"/>
        <v>95.94207423384148</v>
      </c>
      <c r="R347" s="4">
        <f t="shared" si="297"/>
        <v>170.2870551778405</v>
      </c>
      <c r="S347" s="4">
        <f t="shared" si="301"/>
        <v>0.190697796814008</v>
      </c>
      <c r="T347" s="5">
        <f t="shared" si="298"/>
        <v>495.2061010391296</v>
      </c>
      <c r="U347" s="4">
        <f t="shared" si="287"/>
        <v>506.7258293158763</v>
      </c>
      <c r="V347" s="4">
        <f t="shared" si="278"/>
        <v>0.2424191808803437</v>
      </c>
      <c r="W347" s="4">
        <f>SUMPRODUCT($J$4:J347,$S$11:S$354)</f>
        <v>15.193750960238772</v>
      </c>
      <c r="X347" s="6">
        <f t="shared" si="255"/>
        <v>3.173515587113749</v>
      </c>
      <c r="Y347" s="4">
        <f t="shared" si="288"/>
        <v>2093</v>
      </c>
      <c r="Z347" s="4">
        <f t="shared" si="299"/>
        <v>343</v>
      </c>
      <c r="AA347" s="3">
        <f t="shared" si="264"/>
        <v>114.11</v>
      </c>
      <c r="AB347" s="6">
        <f t="shared" si="289"/>
        <v>220.4453745</v>
      </c>
      <c r="AC347" s="4">
        <f t="shared" si="274"/>
        <v>220.4423035286743</v>
      </c>
      <c r="AD347" s="4">
        <f t="shared" si="275"/>
        <v>8.569076224746436</v>
      </c>
      <c r="AE347" s="4">
        <f t="shared" si="304"/>
        <v>0.003070971325712435</v>
      </c>
      <c r="AF347" s="6">
        <f t="shared" si="265"/>
        <v>1888.9869020959002</v>
      </c>
      <c r="AG347" s="30">
        <f t="shared" si="302"/>
        <v>0.5838886487508035</v>
      </c>
      <c r="AH347" s="3">
        <f t="shared" si="266"/>
        <v>1.4553</v>
      </c>
      <c r="AI347" s="47">
        <f t="shared" si="290"/>
        <v>3.4303</v>
      </c>
      <c r="AJ347" s="4">
        <f t="shared" si="276"/>
        <v>3.064324776756918</v>
      </c>
      <c r="AK347" s="4">
        <f t="shared" si="256"/>
        <v>120</v>
      </c>
      <c r="AL347" s="4">
        <f t="shared" si="257"/>
        <v>0.36597522324308196</v>
      </c>
      <c r="AM347" s="4">
        <f t="shared" si="267"/>
        <v>367.71897321083014</v>
      </c>
      <c r="AN347" s="26">
        <f t="shared" si="291"/>
        <v>0.3220292909764582</v>
      </c>
      <c r="AO347" s="4">
        <f t="shared" si="292"/>
        <v>0.977504275597314</v>
      </c>
      <c r="AP347" s="3">
        <f t="shared" si="268"/>
        <v>30</v>
      </c>
      <c r="AQ347" s="3">
        <f t="shared" si="269"/>
        <v>870</v>
      </c>
      <c r="AR347" s="21">
        <f t="shared" si="270"/>
        <v>138</v>
      </c>
      <c r="AS347" s="35">
        <f t="shared" si="279"/>
        <v>0.11669869350818975</v>
      </c>
      <c r="AT347" s="36">
        <f t="shared" si="271"/>
        <v>-0.022752613119584687</v>
      </c>
      <c r="AU347" s="4">
        <f t="shared" si="272"/>
        <v>34.35550957999351</v>
      </c>
      <c r="AV347" s="4">
        <f t="shared" si="258"/>
        <v>0.3929314023597274</v>
      </c>
      <c r="AW347" s="4">
        <f t="shared" si="254"/>
        <v>0.029194432437540174</v>
      </c>
      <c r="AX347" s="3">
        <f t="shared" si="273"/>
        <v>67.8</v>
      </c>
      <c r="AY347" s="36">
        <f t="shared" si="259"/>
        <v>-0.4</v>
      </c>
      <c r="AZ347" s="36">
        <f t="shared" si="280"/>
        <v>-0.8000000000000002</v>
      </c>
      <c r="BA347" s="36">
        <f t="shared" si="260"/>
        <v>-0.1</v>
      </c>
      <c r="BB347" s="6">
        <f t="shared" si="253"/>
        <v>3.201559361638278</v>
      </c>
      <c r="BC347" s="6">
        <f t="shared" si="300"/>
        <v>0.016115911486818124</v>
      </c>
      <c r="BD347" s="4">
        <f t="shared" si="293"/>
        <v>0.2779175680619243</v>
      </c>
      <c r="BE347" s="4">
        <f>SUMPRODUCT(BC$4:BC347,$BD$11:BD$354)</f>
        <v>2.261874629997497</v>
      </c>
      <c r="BF347" s="23">
        <f t="shared" si="294"/>
        <v>2.261874629997497</v>
      </c>
      <c r="BG347" s="4">
        <f t="shared" si="261"/>
        <v>1.559233292205725</v>
      </c>
    </row>
    <row r="348" spans="5:59" ht="15">
      <c r="E348" s="1">
        <f t="shared" si="295"/>
        <v>344</v>
      </c>
      <c r="F348" s="1">
        <f t="shared" si="281"/>
        <v>2094</v>
      </c>
      <c r="G348" s="3">
        <f t="shared" si="262"/>
        <v>3.13</v>
      </c>
      <c r="H348" s="3">
        <f t="shared" si="263"/>
        <v>0.43</v>
      </c>
      <c r="I348" s="5">
        <f t="shared" si="282"/>
        <v>0.8736522319626362</v>
      </c>
      <c r="J348" s="5">
        <f t="shared" si="303"/>
        <v>1.2717600168670409</v>
      </c>
      <c r="K348" s="4">
        <f t="shared" si="283"/>
        <v>1.414587751170323</v>
      </c>
      <c r="L348" s="4">
        <f t="shared" si="284"/>
        <v>0.052747143432183695</v>
      </c>
      <c r="M348" s="4">
        <f t="shared" si="277"/>
        <v>10.262577123154438</v>
      </c>
      <c r="N348" s="4">
        <f t="shared" si="285"/>
        <v>0.5413216274988742</v>
      </c>
      <c r="O348" s="4">
        <f>SUMPRODUCT($M$4:M348,L$10:$L$354)</f>
        <v>8.407813434697761</v>
      </c>
      <c r="P348" s="4">
        <f t="shared" si="286"/>
        <v>1.8547636884566767</v>
      </c>
      <c r="Q348" s="4">
        <f t="shared" si="296"/>
        <v>96.36699504063044</v>
      </c>
      <c r="R348" s="4">
        <f t="shared" si="297"/>
        <v>171.30336485194488</v>
      </c>
      <c r="S348" s="4">
        <f t="shared" si="301"/>
        <v>0.20362353792209173</v>
      </c>
      <c r="T348" s="5">
        <f t="shared" si="298"/>
        <v>496.6159840679003</v>
      </c>
      <c r="U348" s="4">
        <f t="shared" si="287"/>
        <v>508.14054729678435</v>
      </c>
      <c r="V348" s="4">
        <f t="shared" si="278"/>
        <v>0.2589602740223259</v>
      </c>
      <c r="W348" s="4">
        <f>SUMPRODUCT($J$4:J348,$S$10:S$354)</f>
        <v>15.260507759746822</v>
      </c>
      <c r="X348" s="6">
        <f t="shared" si="255"/>
        <v>3.1884313361716754</v>
      </c>
      <c r="Y348" s="4">
        <f t="shared" si="288"/>
        <v>2094</v>
      </c>
      <c r="Z348" s="4">
        <f t="shared" si="299"/>
        <v>344</v>
      </c>
      <c r="AA348" s="3">
        <f t="shared" si="264"/>
        <v>114.11</v>
      </c>
      <c r="AB348" s="6">
        <f t="shared" si="289"/>
        <v>220.4453745</v>
      </c>
      <c r="AC348" s="4">
        <f t="shared" si="274"/>
        <v>220.44256163514072</v>
      </c>
      <c r="AD348" s="4">
        <f t="shared" si="275"/>
        <v>8.56908012252976</v>
      </c>
      <c r="AE348" s="4">
        <f t="shared" si="304"/>
        <v>0.0028128648592939953</v>
      </c>
      <c r="AF348" s="6">
        <f t="shared" si="265"/>
        <v>1888.989973067226</v>
      </c>
      <c r="AG348" s="30">
        <f t="shared" si="302"/>
        <v>0.5838899205941332</v>
      </c>
      <c r="AH348" s="3">
        <f t="shared" si="266"/>
        <v>1.4553</v>
      </c>
      <c r="AI348" s="47">
        <f t="shared" si="290"/>
        <v>3.4303</v>
      </c>
      <c r="AJ348" s="4">
        <f t="shared" si="276"/>
        <v>3.0673745702839437</v>
      </c>
      <c r="AK348" s="4">
        <f t="shared" si="256"/>
        <v>120</v>
      </c>
      <c r="AL348" s="4">
        <f t="shared" si="257"/>
        <v>0.36292542971605624</v>
      </c>
      <c r="AM348" s="4">
        <f t="shared" si="267"/>
        <v>368.0849484340732</v>
      </c>
      <c r="AN348" s="26">
        <f t="shared" si="291"/>
        <v>0.3231741101566243</v>
      </c>
      <c r="AO348" s="4">
        <f t="shared" si="292"/>
        <v>0.977503767069171</v>
      </c>
      <c r="AP348" s="3">
        <f t="shared" si="268"/>
        <v>30</v>
      </c>
      <c r="AQ348" s="3">
        <f t="shared" si="269"/>
        <v>870</v>
      </c>
      <c r="AR348" s="21">
        <f t="shared" si="270"/>
        <v>138</v>
      </c>
      <c r="AS348" s="35">
        <f t="shared" si="279"/>
        <v>0.11669864042592011</v>
      </c>
      <c r="AT348" s="36">
        <f t="shared" si="271"/>
        <v>-0.022753133350839012</v>
      </c>
      <c r="AU348" s="4">
        <f t="shared" si="272"/>
        <v>34.35551770860686</v>
      </c>
      <c r="AV348" s="4">
        <f t="shared" si="258"/>
        <v>0.3929317437614882</v>
      </c>
      <c r="AW348" s="4">
        <f t="shared" si="254"/>
        <v>0.029194496029706665</v>
      </c>
      <c r="AX348" s="3">
        <f t="shared" si="273"/>
        <v>67.8</v>
      </c>
      <c r="AY348" s="36">
        <f t="shared" si="259"/>
        <v>-0.4</v>
      </c>
      <c r="AZ348" s="36">
        <f t="shared" si="280"/>
        <v>-0.8000000000000002</v>
      </c>
      <c r="BA348" s="36">
        <f t="shared" si="260"/>
        <v>-0.1</v>
      </c>
      <c r="BB348" s="6">
        <f t="shared" si="253"/>
        <v>3.217621606713627</v>
      </c>
      <c r="BC348" s="6">
        <f t="shared" si="300"/>
        <v>0.016062245075349146</v>
      </c>
      <c r="BD348" s="4">
        <f t="shared" si="293"/>
        <v>0.24586685734386468</v>
      </c>
      <c r="BE348" s="4">
        <f>SUMPRODUCT(BC$4:BC348,$BD$10:BD$354)</f>
        <v>2.2757470669628495</v>
      </c>
      <c r="BF348" s="23">
        <f t="shared" si="294"/>
        <v>2.2757470669628495</v>
      </c>
      <c r="BG348" s="4">
        <f t="shared" si="261"/>
        <v>1.5731057291710775</v>
      </c>
    </row>
    <row r="349" spans="5:59" ht="15">
      <c r="E349" s="1">
        <f t="shared" si="295"/>
        <v>345</v>
      </c>
      <c r="F349" s="1">
        <f t="shared" si="281"/>
        <v>2095</v>
      </c>
      <c r="G349" s="3">
        <f t="shared" si="262"/>
        <v>3.13</v>
      </c>
      <c r="H349" s="3">
        <f t="shared" si="263"/>
        <v>0.43</v>
      </c>
      <c r="I349" s="5">
        <f t="shared" si="282"/>
        <v>0.87323160813254</v>
      </c>
      <c r="J349" s="5">
        <f t="shared" si="303"/>
        <v>1.2722891268407703</v>
      </c>
      <c r="K349" s="4">
        <f t="shared" si="283"/>
        <v>1.4144792650266897</v>
      </c>
      <c r="L349" s="4">
        <f t="shared" si="284"/>
        <v>0.06260980384125808</v>
      </c>
      <c r="M349" s="4">
        <f t="shared" si="277"/>
        <v>10.310448441045816</v>
      </c>
      <c r="N349" s="4">
        <f t="shared" si="285"/>
        <v>0.6455351544092838</v>
      </c>
      <c r="O349" s="4">
        <f>SUMPRODUCT($M$4:M349,L$9:$L$354)</f>
        <v>8.456577736980433</v>
      </c>
      <c r="P349" s="4">
        <f t="shared" si="286"/>
        <v>1.8538707040653826</v>
      </c>
      <c r="Q349" s="4">
        <f t="shared" si="296"/>
        <v>96.79040280767599</v>
      </c>
      <c r="R349" s="4">
        <f t="shared" si="297"/>
        <v>172.31906224381106</v>
      </c>
      <c r="S349" s="4">
        <f t="shared" si="301"/>
        <v>0.2197643971955202</v>
      </c>
      <c r="T349" s="5">
        <f t="shared" si="298"/>
        <v>498.02581929848395</v>
      </c>
      <c r="U349" s="4">
        <f t="shared" si="287"/>
        <v>509.55513504795465</v>
      </c>
      <c r="V349" s="4">
        <f t="shared" si="278"/>
        <v>0.27960385301857665</v>
      </c>
      <c r="W349" s="4">
        <f>SUMPRODUCT($J$4:J349,$S$9:S$354)</f>
        <v>15.327028224861657</v>
      </c>
      <c r="X349" s="6">
        <f t="shared" si="255"/>
        <v>3.203304248524687</v>
      </c>
      <c r="Y349" s="4">
        <f t="shared" si="288"/>
        <v>2095</v>
      </c>
      <c r="Z349" s="4">
        <f t="shared" si="299"/>
        <v>345</v>
      </c>
      <c r="AA349" s="3">
        <f t="shared" si="264"/>
        <v>114.11</v>
      </c>
      <c r="AB349" s="6">
        <f t="shared" si="289"/>
        <v>220.4453745</v>
      </c>
      <c r="AC349" s="4">
        <f t="shared" si="274"/>
        <v>220.44279804839036</v>
      </c>
      <c r="AD349" s="4">
        <f t="shared" si="275"/>
        <v>8.569083692711178</v>
      </c>
      <c r="AE349" s="4">
        <f t="shared" si="304"/>
        <v>0.0025764516096558054</v>
      </c>
      <c r="AF349" s="6">
        <f t="shared" si="265"/>
        <v>1888.9927859320853</v>
      </c>
      <c r="AG349" s="30">
        <f t="shared" si="302"/>
        <v>0.5838910855417161</v>
      </c>
      <c r="AH349" s="3">
        <f t="shared" si="266"/>
        <v>1.4553</v>
      </c>
      <c r="AI349" s="47">
        <f t="shared" si="290"/>
        <v>3.4303</v>
      </c>
      <c r="AJ349" s="4">
        <f t="shared" si="276"/>
        <v>3.0703989488649106</v>
      </c>
      <c r="AK349" s="4">
        <f t="shared" si="256"/>
        <v>120</v>
      </c>
      <c r="AL349" s="4">
        <f t="shared" si="257"/>
        <v>0.3599010511350893</v>
      </c>
      <c r="AM349" s="4">
        <f t="shared" si="267"/>
        <v>368.44787386378925</v>
      </c>
      <c r="AN349" s="26">
        <f t="shared" si="291"/>
        <v>0.32430882727978866</v>
      </c>
      <c r="AO349" s="4">
        <f t="shared" si="292"/>
        <v>0.9775033012823395</v>
      </c>
      <c r="AP349" s="3">
        <f t="shared" si="268"/>
        <v>30</v>
      </c>
      <c r="AQ349" s="3">
        <f t="shared" si="269"/>
        <v>870</v>
      </c>
      <c r="AR349" s="21">
        <f t="shared" si="270"/>
        <v>138</v>
      </c>
      <c r="AS349" s="35">
        <f t="shared" si="279"/>
        <v>0.11669859180516526</v>
      </c>
      <c r="AT349" s="36">
        <f t="shared" si="271"/>
        <v>-0.022753609857383596</v>
      </c>
      <c r="AU349" s="4">
        <f t="shared" si="272"/>
        <v>34.35552515402162</v>
      </c>
      <c r="AV349" s="4">
        <f t="shared" si="258"/>
        <v>0.3929320564689081</v>
      </c>
      <c r="AW349" s="4">
        <f t="shared" si="254"/>
        <v>0.029194554277085807</v>
      </c>
      <c r="AX349" s="3">
        <f t="shared" si="273"/>
        <v>67.8</v>
      </c>
      <c r="AY349" s="36">
        <f t="shared" si="259"/>
        <v>-0.4</v>
      </c>
      <c r="AZ349" s="36">
        <f t="shared" si="280"/>
        <v>-0.8000000000000002</v>
      </c>
      <c r="BA349" s="36">
        <f t="shared" si="260"/>
        <v>-0.1</v>
      </c>
      <c r="BB349" s="6">
        <f t="shared" si="253"/>
        <v>3.2336307720921855</v>
      </c>
      <c r="BC349" s="6">
        <f t="shared" si="300"/>
        <v>0.016009165378558343</v>
      </c>
      <c r="BD349" s="4">
        <f t="shared" si="293"/>
        <v>0.211556523816788</v>
      </c>
      <c r="BE349" s="4">
        <f>SUMPRODUCT(BC$4:BC349,$BD$9:BD$354)</f>
        <v>2.289579166165393</v>
      </c>
      <c r="BF349" s="23">
        <f t="shared" si="294"/>
        <v>2.289579166165393</v>
      </c>
      <c r="BG349" s="4">
        <f t="shared" si="261"/>
        <v>1.5869378283736209</v>
      </c>
    </row>
    <row r="350" spans="5:59" ht="15">
      <c r="E350" s="1">
        <f t="shared" si="295"/>
        <v>346</v>
      </c>
      <c r="F350" s="1">
        <f t="shared" si="281"/>
        <v>2096</v>
      </c>
      <c r="G350" s="3">
        <f t="shared" si="262"/>
        <v>3.13</v>
      </c>
      <c r="H350" s="3">
        <f t="shared" si="263"/>
        <v>0.43</v>
      </c>
      <c r="I350" s="5">
        <f t="shared" si="282"/>
        <v>0.8727987116669981</v>
      </c>
      <c r="J350" s="5">
        <f t="shared" si="303"/>
        <v>1.2728092250064156</v>
      </c>
      <c r="K350" s="4">
        <f t="shared" si="283"/>
        <v>1.4143920633265863</v>
      </c>
      <c r="L350" s="4">
        <f t="shared" si="284"/>
        <v>0.07207076917883887</v>
      </c>
      <c r="M350" s="4">
        <f t="shared" si="277"/>
        <v>10.358183390259962</v>
      </c>
      <c r="N350" s="4">
        <f t="shared" si="285"/>
        <v>0.7465222442315084</v>
      </c>
      <c r="O350" s="4">
        <f>SUMPRODUCT($M$4:M350,L$8:$L$354)</f>
        <v>8.505231725390924</v>
      </c>
      <c r="P350" s="4">
        <f t="shared" si="286"/>
        <v>1.8529516648690372</v>
      </c>
      <c r="Q350" s="4">
        <f t="shared" si="296"/>
        <v>97.21231161403968</v>
      </c>
      <c r="R350" s="4">
        <f t="shared" si="297"/>
        <v>173.3341610882637</v>
      </c>
      <c r="S350" s="4">
        <f t="shared" si="301"/>
        <v>0.24115173553186417</v>
      </c>
      <c r="T350" s="5">
        <f t="shared" si="298"/>
        <v>499.43562690533577</v>
      </c>
      <c r="U350" s="4">
        <f t="shared" si="287"/>
        <v>510.9696143129813</v>
      </c>
      <c r="V350" s="4">
        <f t="shared" si="278"/>
        <v>0.30694015361126414</v>
      </c>
      <c r="W350" s="4">
        <f>SUMPRODUCT($J$4:J350,$S$8:S$354)</f>
        <v>15.393314546173494</v>
      </c>
      <c r="X350" s="6">
        <f t="shared" si="255"/>
        <v>3.2181347931411612</v>
      </c>
      <c r="Y350" s="4">
        <f t="shared" si="288"/>
        <v>2096</v>
      </c>
      <c r="Z350" s="4">
        <f t="shared" si="299"/>
        <v>346</v>
      </c>
      <c r="AA350" s="3">
        <f t="shared" si="264"/>
        <v>114.11</v>
      </c>
      <c r="AB350" s="6">
        <f t="shared" si="289"/>
        <v>220.4453745</v>
      </c>
      <c r="AC350" s="4">
        <f t="shared" si="274"/>
        <v>220.44301459170066</v>
      </c>
      <c r="AD350" s="4">
        <f t="shared" si="275"/>
        <v>8.569086962825507</v>
      </c>
      <c r="AE350" s="4">
        <f t="shared" si="304"/>
        <v>0.0023599082993541742</v>
      </c>
      <c r="AF350" s="6">
        <f t="shared" si="265"/>
        <v>1888.995362383695</v>
      </c>
      <c r="AG350" s="30">
        <f t="shared" si="302"/>
        <v>0.583892152578024</v>
      </c>
      <c r="AH350" s="3">
        <f t="shared" si="266"/>
        <v>1.4553</v>
      </c>
      <c r="AI350" s="47">
        <f t="shared" si="290"/>
        <v>3.4303</v>
      </c>
      <c r="AJ350" s="4">
        <f t="shared" si="276"/>
        <v>3.073398124291036</v>
      </c>
      <c r="AK350" s="4">
        <f t="shared" si="256"/>
        <v>120</v>
      </c>
      <c r="AL350" s="4">
        <f t="shared" si="257"/>
        <v>0.3569018757089637</v>
      </c>
      <c r="AM350" s="4">
        <f t="shared" si="267"/>
        <v>368.8077749149243</v>
      </c>
      <c r="AN350" s="26">
        <f t="shared" si="291"/>
        <v>0.3254335366719499</v>
      </c>
      <c r="AO350" s="4">
        <f t="shared" si="292"/>
        <v>0.977502874644363</v>
      </c>
      <c r="AP350" s="3">
        <f t="shared" si="268"/>
        <v>30</v>
      </c>
      <c r="AQ350" s="3">
        <f t="shared" si="269"/>
        <v>870</v>
      </c>
      <c r="AR350" s="21">
        <f t="shared" si="270"/>
        <v>138</v>
      </c>
      <c r="AS350" s="35">
        <f t="shared" si="279"/>
        <v>0.11669854727092972</v>
      </c>
      <c r="AT350" s="36">
        <f t="shared" si="271"/>
        <v>-0.02275404631429278</v>
      </c>
      <c r="AU350" s="4">
        <f t="shared" si="272"/>
        <v>34.355531973660824</v>
      </c>
      <c r="AV350" s="4">
        <f t="shared" si="258"/>
        <v>0.3929323428937546</v>
      </c>
      <c r="AW350" s="4">
        <f>0.05*0.036*(SQRT(AF350)-SQRT($B$12))</f>
        <v>0.029194607628901203</v>
      </c>
      <c r="AX350" s="3">
        <f t="shared" si="273"/>
        <v>67.8</v>
      </c>
      <c r="AY350" s="36">
        <f t="shared" si="259"/>
        <v>-0.4</v>
      </c>
      <c r="AZ350" s="36">
        <f t="shared" si="280"/>
        <v>-0.8000000000000002</v>
      </c>
      <c r="BA350" s="36">
        <f t="shared" si="260"/>
        <v>-0.1</v>
      </c>
      <c r="BB350" s="6">
        <f>BA350+AZ350+AY350+AW350+AV350+AN350+AG350+X350</f>
        <v>3.2495874329137906</v>
      </c>
      <c r="BC350" s="6">
        <f t="shared" si="300"/>
        <v>0.015956660821605073</v>
      </c>
      <c r="BD350" s="4">
        <f t="shared" si="293"/>
        <v>0.1748241752346108</v>
      </c>
      <c r="BE350" s="4">
        <f>SUMPRODUCT(BC$4:BC350,$BD$8:BD$354)</f>
        <v>2.3033714956025615</v>
      </c>
      <c r="BF350" s="23">
        <f t="shared" si="294"/>
        <v>2.3033714956025615</v>
      </c>
      <c r="BG350" s="4">
        <f t="shared" si="261"/>
        <v>1.6007301578107895</v>
      </c>
    </row>
    <row r="351" spans="5:59" ht="15">
      <c r="E351" s="1">
        <f t="shared" si="295"/>
        <v>347</v>
      </c>
      <c r="F351" s="1">
        <f t="shared" si="281"/>
        <v>2097</v>
      </c>
      <c r="G351" s="3">
        <f t="shared" si="262"/>
        <v>3.13</v>
      </c>
      <c r="H351" s="3">
        <f t="shared" si="263"/>
        <v>0.43</v>
      </c>
      <c r="I351" s="5">
        <f t="shared" si="282"/>
        <v>0.8723538178848907</v>
      </c>
      <c r="J351" s="5">
        <f t="shared" si="303"/>
        <v>1.2733204742318218</v>
      </c>
      <c r="K351" s="4">
        <f t="shared" si="283"/>
        <v>1.4143257078832874</v>
      </c>
      <c r="L351" s="4">
        <f t="shared" si="284"/>
        <v>0.07843083126034525</v>
      </c>
      <c r="M351" s="4">
        <f t="shared" si="277"/>
        <v>10.405783450193493</v>
      </c>
      <c r="N351" s="4">
        <f t="shared" si="285"/>
        <v>0.816134245913819</v>
      </c>
      <c r="O351" s="4">
        <f>SUMPRODUCT($M$4:M351,L$7:$L$354)</f>
        <v>8.55377629482387</v>
      </c>
      <c r="P351" s="4">
        <f t="shared" si="286"/>
        <v>1.8520071553696233</v>
      </c>
      <c r="Q351" s="4">
        <f t="shared" si="296"/>
        <v>97.63273535363078</v>
      </c>
      <c r="R351" s="4">
        <f t="shared" si="297"/>
        <v>174.34867498784706</v>
      </c>
      <c r="S351" s="4">
        <f t="shared" si="301"/>
        <v>0.2719071489736581</v>
      </c>
      <c r="T351" s="5">
        <f t="shared" si="298"/>
        <v>500.8454267908728</v>
      </c>
      <c r="U351" s="4">
        <f t="shared" si="287"/>
        <v>512.3840063763079</v>
      </c>
      <c r="V351" s="4">
        <f t="shared" si="278"/>
        <v>0.34622493987816094</v>
      </c>
      <c r="W351" s="4">
        <f>SUMPRODUCT($J$4:J351,$S$7:S$354)</f>
        <v>15.459368871291801</v>
      </c>
      <c r="X351" s="6">
        <f t="shared" si="255"/>
        <v>3.232923429647804</v>
      </c>
      <c r="Y351" s="4">
        <f t="shared" si="288"/>
        <v>2097</v>
      </c>
      <c r="Z351" s="4">
        <f t="shared" si="299"/>
        <v>347</v>
      </c>
      <c r="AA351" s="3">
        <f t="shared" si="264"/>
        <v>114.11</v>
      </c>
      <c r="AB351" s="6">
        <f t="shared" si="289"/>
        <v>220.4453745</v>
      </c>
      <c r="AC351" s="4">
        <f t="shared" si="274"/>
        <v>220.44321293510316</v>
      </c>
      <c r="AD351" s="4">
        <f t="shared" si="275"/>
        <v>8.569089958093203</v>
      </c>
      <c r="AE351" s="4">
        <f t="shared" si="304"/>
        <v>0.002161564896852042</v>
      </c>
      <c r="AF351" s="6">
        <f t="shared" si="265"/>
        <v>1888.9977222919943</v>
      </c>
      <c r="AG351" s="30">
        <f t="shared" si="302"/>
        <v>0.5838931299323763</v>
      </c>
      <c r="AH351" s="3">
        <f t="shared" si="266"/>
        <v>1.4553</v>
      </c>
      <c r="AI351" s="47">
        <f t="shared" si="290"/>
        <v>3.4303</v>
      </c>
      <c r="AJ351" s="4">
        <f t="shared" si="276"/>
        <v>3.0763723065886106</v>
      </c>
      <c r="AK351" s="4">
        <f t="shared" si="256"/>
        <v>120</v>
      </c>
      <c r="AL351" s="4">
        <f t="shared" si="257"/>
        <v>0.3539276934113893</v>
      </c>
      <c r="AM351" s="4">
        <f t="shared" si="267"/>
        <v>369.1646767906333</v>
      </c>
      <c r="AN351" s="26">
        <f t="shared" si="291"/>
        <v>0.3265483316825356</v>
      </c>
      <c r="AO351" s="4">
        <f t="shared" si="292"/>
        <v>0.9775024838647491</v>
      </c>
      <c r="AP351" s="3">
        <f t="shared" si="268"/>
        <v>30</v>
      </c>
      <c r="AQ351" s="3">
        <f t="shared" si="269"/>
        <v>870</v>
      </c>
      <c r="AR351" s="21">
        <f t="shared" si="270"/>
        <v>138</v>
      </c>
      <c r="AS351" s="35">
        <f t="shared" si="279"/>
        <v>0.1166985064797383</v>
      </c>
      <c r="AT351" s="36">
        <f t="shared" si="271"/>
        <v>-0.022754446087738068</v>
      </c>
      <c r="AU351" s="4">
        <f t="shared" si="272"/>
        <v>34.355538220120906</v>
      </c>
      <c r="AV351" s="4">
        <f t="shared" si="258"/>
        <v>0.39293260524507806</v>
      </c>
      <c r="AW351" s="4">
        <f>0.05*0.036*(SQRT(AF351)-SQRT($B$12))</f>
        <v>0.02919465649661882</v>
      </c>
      <c r="AX351" s="3">
        <f t="shared" si="273"/>
        <v>67.8</v>
      </c>
      <c r="AY351" s="36">
        <f t="shared" si="259"/>
        <v>-0.4</v>
      </c>
      <c r="AZ351" s="36">
        <f t="shared" si="280"/>
        <v>-0.8000000000000002</v>
      </c>
      <c r="BA351" s="36">
        <f t="shared" si="260"/>
        <v>-0.1</v>
      </c>
      <c r="BB351" s="6">
        <f>BA351+AZ351+AY351+AW351+AV351+AN351+AG351+X351</f>
        <v>3.2654921530044128</v>
      </c>
      <c r="BC351" s="6">
        <f t="shared" si="300"/>
        <v>0.01590472009062216</v>
      </c>
      <c r="BD351" s="4">
        <f t="shared" si="293"/>
        <v>0.1354957415515432</v>
      </c>
      <c r="BE351" s="4">
        <f>SUMPRODUCT(BC$4:BC351,$BD$7:BD$354)</f>
        <v>2.317124609709925</v>
      </c>
      <c r="BF351" s="23">
        <f t="shared" si="294"/>
        <v>2.317124609709925</v>
      </c>
      <c r="BG351" s="4">
        <f t="shared" si="261"/>
        <v>1.614483271918153</v>
      </c>
    </row>
    <row r="352" spans="5:59" ht="15">
      <c r="E352" s="1">
        <f t="shared" si="295"/>
        <v>348</v>
      </c>
      <c r="F352" s="1">
        <f t="shared" si="281"/>
        <v>2098</v>
      </c>
      <c r="G352" s="3">
        <f t="shared" si="262"/>
        <v>3.13</v>
      </c>
      <c r="H352" s="3">
        <f t="shared" si="263"/>
        <v>0.43</v>
      </c>
      <c r="I352" s="5">
        <f t="shared" si="282"/>
        <v>0.8718971957657862</v>
      </c>
      <c r="J352" s="5">
        <f t="shared" si="303"/>
        <v>1.2738230309186382</v>
      </c>
      <c r="K352" s="4">
        <f t="shared" si="283"/>
        <v>1.4142797733155759</v>
      </c>
      <c r="L352" s="4">
        <f t="shared" si="284"/>
        <v>0.07639325067965924</v>
      </c>
      <c r="M352" s="4">
        <f t="shared" si="277"/>
        <v>10.453250071276168</v>
      </c>
      <c r="N352" s="4">
        <f t="shared" si="285"/>
        <v>0.7985577531121661</v>
      </c>
      <c r="O352" s="4">
        <f>SUMPRODUCT($M$4:M352,L$6:$L$354)</f>
        <v>8.602212324665404</v>
      </c>
      <c r="P352" s="4">
        <f t="shared" si="286"/>
        <v>1.8510377466107641</v>
      </c>
      <c r="Q352" s="4">
        <f t="shared" si="296"/>
        <v>98.05168764775132</v>
      </c>
      <c r="R352" s="4">
        <f t="shared" si="297"/>
        <v>175.36261719515758</v>
      </c>
      <c r="S352" s="4">
        <f>0.12935+0.21898*EXP(-(350-E352)/0.034569)+0.17003*EXP(-(350-E352)/0.26936)+0.24017*EXP(-(350-E352)/0.96083)+0.24093*EXP(-(350-E352)/4.9792)</f>
        <v>0.32064044677533077</v>
      </c>
      <c r="T352" s="5">
        <f t="shared" si="298"/>
        <v>502.25523834938053</v>
      </c>
      <c r="U352" s="4">
        <f t="shared" si="287"/>
        <v>513.7983320841912</v>
      </c>
      <c r="V352" s="4">
        <f t="shared" si="278"/>
        <v>0.40843918574645816</v>
      </c>
      <c r="W352" s="4">
        <f>SUMPRODUCT($J$4:J352,$S$6:S$354)</f>
        <v>15.525193308565933</v>
      </c>
      <c r="X352" s="6">
        <f t="shared" si="255"/>
        <v>3.2476706086717475</v>
      </c>
      <c r="Y352" s="4">
        <f t="shared" si="288"/>
        <v>2098</v>
      </c>
      <c r="Z352" s="4">
        <f t="shared" si="299"/>
        <v>348</v>
      </c>
      <c r="AA352" s="3">
        <f t="shared" si="264"/>
        <v>114.11</v>
      </c>
      <c r="AB352" s="6">
        <f t="shared" si="289"/>
        <v>220.4453745</v>
      </c>
      <c r="AC352" s="4">
        <f t="shared" si="274"/>
        <v>220.44339460826438</v>
      </c>
      <c r="AD352" s="4">
        <f t="shared" si="275"/>
        <v>8.569092701614897</v>
      </c>
      <c r="AE352" s="4">
        <f t="shared" si="304"/>
        <v>0.001979891735629735</v>
      </c>
      <c r="AF352" s="6">
        <f t="shared" si="265"/>
        <v>1888.999883856891</v>
      </c>
      <c r="AG352" s="30">
        <f t="shared" si="302"/>
        <v>0.5838940251424128</v>
      </c>
      <c r="AH352" s="3">
        <f t="shared" si="266"/>
        <v>1.4553</v>
      </c>
      <c r="AI352" s="47">
        <f t="shared" si="290"/>
        <v>3.4303</v>
      </c>
      <c r="AJ352" s="4">
        <f t="shared" si="276"/>
        <v>3.0793217040337053</v>
      </c>
      <c r="AK352" s="4">
        <f t="shared" si="256"/>
        <v>120</v>
      </c>
      <c r="AL352" s="4">
        <f t="shared" si="257"/>
        <v>0.3509782959662946</v>
      </c>
      <c r="AM352" s="4">
        <f t="shared" si="267"/>
        <v>369.51860448404466</v>
      </c>
      <c r="AN352" s="26">
        <f t="shared" si="291"/>
        <v>0.32765330469632714</v>
      </c>
      <c r="AO352" s="4">
        <f t="shared" si="292"/>
        <v>0.9775021259295865</v>
      </c>
      <c r="AP352" s="3">
        <f t="shared" si="268"/>
        <v>30</v>
      </c>
      <c r="AQ352" s="3">
        <f t="shared" si="269"/>
        <v>870</v>
      </c>
      <c r="AR352" s="21">
        <f t="shared" si="270"/>
        <v>138</v>
      </c>
      <c r="AS352" s="35">
        <f t="shared" si="279"/>
        <v>0.11669846911698645</v>
      </c>
      <c r="AT352" s="36">
        <f t="shared" si="271"/>
        <v>-0.022754812260954153</v>
      </c>
      <c r="AU352" s="4">
        <f t="shared" si="272"/>
        <v>34.35554394157741</v>
      </c>
      <c r="AV352" s="4">
        <f t="shared" si="258"/>
        <v>0.3929328455462512</v>
      </c>
      <c r="AW352" s="4">
        <f>0.05*0.036*(SQRT(AF352)-SQRT($B$12))</f>
        <v>0.029194701257120644</v>
      </c>
      <c r="AX352" s="3">
        <f t="shared" si="273"/>
        <v>67.8</v>
      </c>
      <c r="AY352" s="36">
        <f t="shared" si="259"/>
        <v>-0.4</v>
      </c>
      <c r="AZ352" s="36">
        <f t="shared" si="280"/>
        <v>-0.8000000000000002</v>
      </c>
      <c r="BA352" s="36">
        <f t="shared" si="260"/>
        <v>-0.1</v>
      </c>
      <c r="BB352" s="6">
        <f>BA352+AZ352+AY352+AW352+AV352+AN352+AG352+X352</f>
        <v>3.281345485313859</v>
      </c>
      <c r="BC352" s="6">
        <f t="shared" si="300"/>
        <v>0.015853332309446078</v>
      </c>
      <c r="BD352" s="4">
        <f t="shared" si="293"/>
        <v>0.09338463514274607</v>
      </c>
      <c r="BE352" s="4">
        <f>SUMPRODUCT(BC$4:BC352,$BD$6:BD$354)</f>
        <v>2.3308390497565283</v>
      </c>
      <c r="BF352" s="23">
        <f t="shared" si="294"/>
        <v>2.3308390497565283</v>
      </c>
      <c r="BG352" s="4">
        <f t="shared" si="261"/>
        <v>1.6281977119647564</v>
      </c>
    </row>
    <row r="353" spans="5:59" ht="15">
      <c r="E353" s="1">
        <f t="shared" si="295"/>
        <v>349</v>
      </c>
      <c r="F353" s="1">
        <f t="shared" si="281"/>
        <v>2099</v>
      </c>
      <c r="G353" s="3">
        <f t="shared" si="262"/>
        <v>3.13</v>
      </c>
      <c r="H353" s="3">
        <f t="shared" si="263"/>
        <v>0.43</v>
      </c>
      <c r="I353" s="5">
        <f t="shared" si="282"/>
        <v>0.8714291081925972</v>
      </c>
      <c r="J353" s="5">
        <f t="shared" si="303"/>
        <v>1.2743170567667756</v>
      </c>
      <c r="K353" s="4">
        <f t="shared" si="283"/>
        <v>1.4142538350406273</v>
      </c>
      <c r="L353" s="4">
        <f t="shared" si="284"/>
        <v>0.05612287098582813</v>
      </c>
      <c r="M353" s="4">
        <f t="shared" si="277"/>
        <v>10.500584675780981</v>
      </c>
      <c r="N353" s="4">
        <f t="shared" si="285"/>
        <v>0.58932295903462</v>
      </c>
      <c r="O353" s="4">
        <f>SUMPRODUCT($M$4:M353,L$5:$L$354)</f>
        <v>8.650540679088097</v>
      </c>
      <c r="P353" s="4">
        <f t="shared" si="286"/>
        <v>1.850043996692884</v>
      </c>
      <c r="Q353" s="4">
        <f t="shared" si="296"/>
        <v>98.46918186869443</v>
      </c>
      <c r="R353" s="4">
        <f t="shared" si="297"/>
        <v>176.37600066138847</v>
      </c>
      <c r="S353" s="4">
        <f>0.12935+0.21898*EXP(-(350-E353)/0.034569)+0.17003*EXP(-(350-E353)/0.26936)+0.24017*EXP(-(350-E353)/0.96083)+0.24093*EXP(-(350-E353)/4.9792)</f>
        <v>0.41541771173687164</v>
      </c>
      <c r="T353" s="5">
        <f t="shared" si="298"/>
        <v>503.66508052370347</v>
      </c>
      <c r="U353" s="4">
        <f t="shared" si="287"/>
        <v>515.2126118575068</v>
      </c>
      <c r="V353" s="4">
        <f t="shared" si="278"/>
        <v>0.5293738757493192</v>
      </c>
      <c r="W353" s="4">
        <f>SUMPRODUCT($J$4:J353,$S$5:S$354)</f>
        <v>15.590789939261695</v>
      </c>
      <c r="X353" s="6">
        <f t="shared" si="255"/>
        <v>3.262376772092233</v>
      </c>
      <c r="Y353" s="4">
        <f t="shared" si="288"/>
        <v>2099</v>
      </c>
      <c r="Z353" s="4">
        <f t="shared" si="299"/>
        <v>349</v>
      </c>
      <c r="AA353" s="3">
        <f t="shared" si="264"/>
        <v>114.11</v>
      </c>
      <c r="AB353" s="6">
        <f t="shared" si="289"/>
        <v>220.4453745</v>
      </c>
      <c r="AC353" s="4">
        <f t="shared" si="274"/>
        <v>220.44356101228345</v>
      </c>
      <c r="AD353" s="4">
        <f t="shared" si="275"/>
        <v>8.56909521454958</v>
      </c>
      <c r="AE353" s="4">
        <f t="shared" si="304"/>
        <v>0.0018134877165607577</v>
      </c>
      <c r="AF353" s="6">
        <f t="shared" si="265"/>
        <v>1889.0018637486266</v>
      </c>
      <c r="AG353" s="30">
        <f t="shared" si="302"/>
        <v>0.5838948451122339</v>
      </c>
      <c r="AH353" s="3">
        <f t="shared" si="266"/>
        <v>1.4553</v>
      </c>
      <c r="AI353" s="47">
        <f t="shared" si="290"/>
        <v>3.4303</v>
      </c>
      <c r="AJ353" s="4">
        <f t="shared" si="276"/>
        <v>3.082246523166758</v>
      </c>
      <c r="AK353" s="4">
        <f t="shared" si="256"/>
        <v>120</v>
      </c>
      <c r="AL353" s="4">
        <f t="shared" si="257"/>
        <v>0.34805347683324195</v>
      </c>
      <c r="AM353" s="4">
        <f t="shared" si="267"/>
        <v>369.86958278001094</v>
      </c>
      <c r="AN353" s="26">
        <f t="shared" si="291"/>
        <v>0.32874854714519824</v>
      </c>
      <c r="AO353" s="4">
        <f t="shared" si="292"/>
        <v>0.977501798078294</v>
      </c>
      <c r="AP353" s="3">
        <f t="shared" si="268"/>
        <v>30</v>
      </c>
      <c r="AQ353" s="3">
        <f t="shared" si="269"/>
        <v>870</v>
      </c>
      <c r="AR353" s="21">
        <f t="shared" si="270"/>
        <v>138</v>
      </c>
      <c r="AS353" s="35">
        <f t="shared" si="279"/>
        <v>0.11669843489451333</v>
      </c>
      <c r="AT353" s="36">
        <f t="shared" si="271"/>
        <v>-0.022755147658022622</v>
      </c>
      <c r="AU353" s="4">
        <f t="shared" si="272"/>
        <v>34.3555491821566</v>
      </c>
      <c r="AV353" s="4">
        <f t="shared" si="258"/>
        <v>0.3929330656505773</v>
      </c>
      <c r="AW353" s="4">
        <f>0.05*0.036*(SQRT(AF353)-SQRT($B$12))</f>
        <v>0.029194742255611698</v>
      </c>
      <c r="AX353" s="3">
        <f t="shared" si="273"/>
        <v>67.8</v>
      </c>
      <c r="AY353" s="36">
        <f t="shared" si="259"/>
        <v>-0.4</v>
      </c>
      <c r="AZ353" s="36">
        <f t="shared" si="280"/>
        <v>-0.8000000000000002</v>
      </c>
      <c r="BA353" s="36">
        <f t="shared" si="260"/>
        <v>-0.1</v>
      </c>
      <c r="BB353" s="6">
        <f>BA353+AZ353+AY353+AW353+AV353+AN353+AG353+X353</f>
        <v>3.297147972255854</v>
      </c>
      <c r="BC353" s="6">
        <f t="shared" si="300"/>
        <v>0.015802486941995042</v>
      </c>
      <c r="BD353" s="4">
        <f t="shared" si="293"/>
        <v>0.04829085063435106</v>
      </c>
      <c r="BE353" s="4">
        <f>SUMPRODUCT(BC$4:BC353,$BD$5:BD$354)</f>
        <v>2.3445153442343307</v>
      </c>
      <c r="BF353" s="23">
        <f t="shared" si="294"/>
        <v>2.3445153442343307</v>
      </c>
      <c r="BG353" s="4">
        <f t="shared" si="261"/>
        <v>1.6418740064425588</v>
      </c>
    </row>
    <row r="354" spans="5:59" ht="15">
      <c r="E354" s="1">
        <f t="shared" si="295"/>
        <v>350</v>
      </c>
      <c r="F354" s="1">
        <f t="shared" si="281"/>
        <v>2100</v>
      </c>
      <c r="G354" s="3">
        <f t="shared" si="262"/>
        <v>3.13</v>
      </c>
      <c r="H354" s="3">
        <f t="shared" si="263"/>
        <v>0.43</v>
      </c>
      <c r="I354" s="5">
        <f t="shared" si="282"/>
        <v>0.8709498119964103</v>
      </c>
      <c r="J354" s="5">
        <f t="shared" si="303"/>
        <v>1.274802705227151</v>
      </c>
      <c r="K354" s="4">
        <f t="shared" si="283"/>
        <v>1.4142474827764386</v>
      </c>
      <c r="L354" s="4">
        <f t="shared" si="284"/>
        <v>-3.6999999999385615E-06</v>
      </c>
      <c r="M354" s="4">
        <f t="shared" si="277"/>
        <v>10.547788658220647</v>
      </c>
      <c r="N354" s="4">
        <f t="shared" si="285"/>
        <v>-3.902681803476835E-05</v>
      </c>
      <c r="O354" s="4">
        <f>SUMPRODUCT($M$4:M354,L$4:$L$354)</f>
        <v>8.698762207352267</v>
      </c>
      <c r="P354" s="4">
        <f t="shared" si="286"/>
        <v>1.8490264508683794</v>
      </c>
      <c r="Q354" s="4">
        <f t="shared" si="296"/>
        <v>98.88523121697473</v>
      </c>
      <c r="R354" s="4">
        <f t="shared" si="297"/>
        <v>177.38883821662273</v>
      </c>
      <c r="S354" s="4">
        <f>0.12935+0.21898*EXP(-(350-E354)/0.034569)+0.17003*EXP(-(350-E354)/0.26936)+0.24017*EXP(-(350-E354)/0.96083)+0.24093*EXP(-(350-E354)/4.9792)</f>
        <v>0.99946</v>
      </c>
      <c r="T354" s="5">
        <f t="shared" si="298"/>
        <v>505.07497200763476</v>
      </c>
      <c r="U354" s="4">
        <f t="shared" si="287"/>
        <v>516.6268656925474</v>
      </c>
      <c r="V354" s="4">
        <f t="shared" si="278"/>
        <v>1.2741143117663283</v>
      </c>
      <c r="W354" s="4">
        <f>SUMPRODUCT($J$4:J354,$S$4:S$354)</f>
        <v>15.656160809153072</v>
      </c>
      <c r="X354" s="6">
        <f t="shared" si="255"/>
        <v>3.2770423531637896</v>
      </c>
      <c r="Y354" s="4">
        <f t="shared" si="288"/>
        <v>2100</v>
      </c>
      <c r="Z354" s="4">
        <f t="shared" si="299"/>
        <v>350</v>
      </c>
      <c r="AA354" s="3">
        <f t="shared" si="264"/>
        <v>114.11</v>
      </c>
      <c r="AB354" s="6">
        <f t="shared" si="289"/>
        <v>220.4453745</v>
      </c>
      <c r="AC354" s="4">
        <f t="shared" si="274"/>
        <v>220.44371343049858</v>
      </c>
      <c r="AD354" s="4">
        <f t="shared" si="275"/>
        <v>8.569097516277813</v>
      </c>
      <c r="AE354" s="4">
        <f t="shared" si="304"/>
        <v>0.0016610695014378507</v>
      </c>
      <c r="AF354" s="6">
        <f t="shared" si="265"/>
        <v>1889.0036772363433</v>
      </c>
      <c r="AG354" s="30">
        <f t="shared" si="302"/>
        <v>0.5838955961656503</v>
      </c>
      <c r="AH354" s="3">
        <f t="shared" si="266"/>
        <v>1.4553</v>
      </c>
      <c r="AI354" s="47">
        <f t="shared" si="290"/>
        <v>3.4303</v>
      </c>
      <c r="AJ354" s="4">
        <f t="shared" si="276"/>
        <v>3.085146968807035</v>
      </c>
      <c r="AK354" s="4">
        <f t="shared" si="256"/>
        <v>120</v>
      </c>
      <c r="AL354" s="4">
        <f t="shared" si="257"/>
        <v>0.3451530311929649</v>
      </c>
      <c r="AM354" s="4">
        <f t="shared" si="267"/>
        <v>370.2176362568442</v>
      </c>
      <c r="AN354" s="26">
        <f t="shared" si="291"/>
        <v>0.3298341495196786</v>
      </c>
      <c r="AO354" s="4">
        <f t="shared" si="292"/>
        <v>0.9775014977823268</v>
      </c>
      <c r="AP354" s="3">
        <f t="shared" si="268"/>
        <v>30</v>
      </c>
      <c r="AQ354" s="3">
        <f t="shared" si="269"/>
        <v>870</v>
      </c>
      <c r="AR354" s="21">
        <f t="shared" si="270"/>
        <v>138</v>
      </c>
      <c r="AS354" s="35">
        <f t="shared" si="279"/>
        <v>0.11669840354837896</v>
      </c>
      <c r="AT354" s="36">
        <f t="shared" si="271"/>
        <v>-0.02275545486565533</v>
      </c>
      <c r="AU354" s="4">
        <f t="shared" si="272"/>
        <v>34.355553982275865</v>
      </c>
      <c r="AV354" s="4">
        <f t="shared" si="258"/>
        <v>0.39293326725558636</v>
      </c>
      <c r="AW354" s="4">
        <f>0.05*0.036*(SQRT(AF354)-SQRT($B$12))</f>
        <v>0.02919477980828252</v>
      </c>
      <c r="AX354" s="3">
        <f t="shared" si="273"/>
        <v>67.8</v>
      </c>
      <c r="AY354" s="36">
        <f t="shared" si="259"/>
        <v>-0.4</v>
      </c>
      <c r="AZ354" s="36">
        <f t="shared" si="280"/>
        <v>-0.8000000000000002</v>
      </c>
      <c r="BA354" s="36">
        <f t="shared" si="260"/>
        <v>-0.1</v>
      </c>
      <c r="BB354" s="6">
        <f>BA354+AZ354+AY354+AW354+AV354+AN354+AG354+X354</f>
        <v>3.312900145912987</v>
      </c>
      <c r="BC354" s="6">
        <f t="shared" si="300"/>
        <v>0.015752173657133106</v>
      </c>
      <c r="BD354" s="4">
        <f t="shared" si="293"/>
        <v>0</v>
      </c>
      <c r="BE354" s="4">
        <f>SUMPRODUCT(BC$4:BC354,$BD$4:BD$354)</f>
        <v>2.3581540092373596</v>
      </c>
      <c r="BF354" s="23">
        <f t="shared" si="294"/>
        <v>2.3581540092373596</v>
      </c>
      <c r="BG354" s="4">
        <f>BF354-$BF$254</f>
        <v>1.6555126714455877</v>
      </c>
    </row>
  </sheetData>
  <sheetProtection password="C680" sheet="1" objects="1" selectLockedCells="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9" sqref="L9"/>
    </sheetView>
  </sheetViews>
  <sheetFormatPr defaultColWidth="9.00390625" defaultRowHeight="15"/>
  <cols>
    <col min="1" max="16384" width="9.00390625" style="50" customWidth="1"/>
  </cols>
  <sheetData/>
  <sheetProtection password="C680" sheet="1" objects="1" scenarios="1" selectLockedCells="1"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1" sqref="Q21"/>
    </sheetView>
  </sheetViews>
  <sheetFormatPr defaultColWidth="9.00390625" defaultRowHeight="15"/>
  <cols>
    <col min="1" max="16384" width="9.00390625" style="50" customWidth="1"/>
  </cols>
  <sheetData/>
  <sheetProtection password="C680" sheet="1" objects="1" scenarios="1" selectLockedCells="1"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4" sqref="J34"/>
    </sheetView>
  </sheetViews>
  <sheetFormatPr defaultColWidth="9.00390625" defaultRowHeight="15"/>
  <cols>
    <col min="1" max="16384" width="9.00390625" style="50" customWidth="1"/>
  </cols>
  <sheetData/>
  <sheetProtection password="C680" sheet="1" objects="1" scenarios="1" selectLockedCells="1"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K1:S103"/>
  <sheetViews>
    <sheetView zoomScalePageLayoutView="0" workbookViewId="0" topLeftCell="A1">
      <selection activeCell="M10" sqref="M10"/>
    </sheetView>
  </sheetViews>
  <sheetFormatPr defaultColWidth="9.140625" defaultRowHeight="15"/>
  <cols>
    <col min="1" max="9" width="9.00390625" style="61" customWidth="1"/>
    <col min="10" max="10" width="10.140625" style="61" customWidth="1"/>
    <col min="11" max="12" width="9.00390625" style="62" customWidth="1"/>
    <col min="13" max="16384" width="9.00390625" style="61" customWidth="1"/>
  </cols>
  <sheetData>
    <row r="1" spans="11:12" ht="12">
      <c r="K1" s="59" t="s">
        <v>79</v>
      </c>
      <c r="L1" s="60" t="s">
        <v>80</v>
      </c>
    </row>
    <row r="2" spans="11:12" ht="12">
      <c r="K2" s="62">
        <f>modello!F254</f>
        <v>2000</v>
      </c>
      <c r="L2" s="63">
        <f>modello!BG254</f>
        <v>0</v>
      </c>
    </row>
    <row r="3" spans="11:12" ht="12">
      <c r="K3" s="62">
        <f>modello!F255</f>
        <v>2001</v>
      </c>
      <c r="L3" s="63">
        <f>modello!BG255</f>
        <v>0.016483099063748896</v>
      </c>
    </row>
    <row r="4" spans="11:12" ht="12">
      <c r="K4" s="62">
        <f>modello!F256</f>
        <v>2002</v>
      </c>
      <c r="L4" s="63">
        <f>modello!BG256</f>
        <v>0.033525599727746824</v>
      </c>
    </row>
    <row r="5" spans="11:12" ht="12">
      <c r="K5" s="62">
        <f>modello!F257</f>
        <v>2003</v>
      </c>
      <c r="L5" s="63">
        <f>modello!BG257</f>
        <v>0.051048216867053964</v>
      </c>
    </row>
    <row r="6" spans="11:12" ht="12">
      <c r="K6" s="62">
        <f>modello!F258</f>
        <v>2004</v>
      </c>
      <c r="L6" s="63">
        <f>modello!BG258</f>
        <v>0.0689805978314505</v>
      </c>
    </row>
    <row r="7" spans="11:12" ht="12">
      <c r="K7" s="62">
        <f>modello!F259</f>
        <v>2005</v>
      </c>
      <c r="L7" s="63">
        <f>modello!BG259</f>
        <v>0.08726046477172278</v>
      </c>
    </row>
    <row r="8" spans="11:12" ht="12">
      <c r="K8" s="62">
        <f>modello!F260</f>
        <v>2006</v>
      </c>
      <c r="L8" s="63">
        <f>modello!BG260</f>
        <v>0.10583233919328361</v>
      </c>
    </row>
    <row r="9" spans="11:12" ht="12">
      <c r="K9" s="62">
        <f>modello!F261</f>
        <v>2007</v>
      </c>
      <c r="L9" s="63">
        <f>modello!BG261</f>
        <v>0.12464708712970218</v>
      </c>
    </row>
    <row r="10" spans="11:12" ht="12">
      <c r="K10" s="62">
        <f>modello!F262</f>
        <v>2008</v>
      </c>
      <c r="L10" s="63">
        <f>modello!BG262</f>
        <v>0.1436622866166568</v>
      </c>
    </row>
    <row r="11" spans="11:19" ht="12">
      <c r="K11" s="62">
        <f>modello!F263</f>
        <v>2009</v>
      </c>
      <c r="L11" s="63">
        <f>modello!BG263</f>
        <v>0.16283790169083368</v>
      </c>
      <c r="S11" s="61" t="s">
        <v>2</v>
      </c>
    </row>
    <row r="12" spans="11:12" ht="12">
      <c r="K12" s="62">
        <f>modello!F264</f>
        <v>2010</v>
      </c>
      <c r="L12" s="63">
        <f>modello!BG264</f>
        <v>0.18213874820882858</v>
      </c>
    </row>
    <row r="13" spans="11:12" ht="12">
      <c r="K13" s="62">
        <f>modello!F265</f>
        <v>2011</v>
      </c>
      <c r="L13" s="63">
        <f>modello!BG265</f>
        <v>0.20153502531415346</v>
      </c>
    </row>
    <row r="14" spans="11:12" ht="12">
      <c r="K14" s="62">
        <f>modello!F266</f>
        <v>2012</v>
      </c>
      <c r="L14" s="63">
        <f>modello!BG266</f>
        <v>0.22099974210237705</v>
      </c>
    </row>
    <row r="15" spans="11:12" ht="12">
      <c r="K15" s="62">
        <f>modello!F267</f>
        <v>2013</v>
      </c>
      <c r="L15" s="63">
        <f>modello!BG267</f>
        <v>0.24050838994003643</v>
      </c>
    </row>
    <row r="16" spans="11:12" ht="12">
      <c r="K16" s="62">
        <f>modello!F268</f>
        <v>2014</v>
      </c>
      <c r="L16" s="63">
        <f>modello!BG268</f>
        <v>0.26003989291326424</v>
      </c>
    </row>
    <row r="17" spans="11:12" ht="12">
      <c r="K17" s="62">
        <f>modello!F269</f>
        <v>2015</v>
      </c>
      <c r="L17" s="63">
        <f>modello!BG269</f>
        <v>0.2795758849667279</v>
      </c>
    </row>
    <row r="18" spans="11:12" ht="12">
      <c r="K18" s="62">
        <f>modello!F270</f>
        <v>2016</v>
      </c>
      <c r="L18" s="63">
        <f>modello!BG270</f>
        <v>0.2990998036828538</v>
      </c>
    </row>
    <row r="19" spans="11:12" ht="12">
      <c r="K19" s="62">
        <f>modello!F271</f>
        <v>2017</v>
      </c>
      <c r="L19" s="63">
        <f>modello!BG271</f>
        <v>0.3185971244804553</v>
      </c>
    </row>
    <row r="20" spans="11:12" ht="12">
      <c r="K20" s="62">
        <f>modello!F272</f>
        <v>2018</v>
      </c>
      <c r="L20" s="63">
        <f>modello!BG272</f>
        <v>0.33805539488744696</v>
      </c>
    </row>
    <row r="21" spans="11:12" ht="12">
      <c r="K21" s="62">
        <f>modello!F273</f>
        <v>2019</v>
      </c>
      <c r="L21" s="63">
        <f>modello!BG273</f>
        <v>0.3574636754963101</v>
      </c>
    </row>
    <row r="22" spans="11:12" ht="12">
      <c r="K22" s="62">
        <f>modello!F274</f>
        <v>2020</v>
      </c>
      <c r="L22" s="63">
        <f>modello!BG274</f>
        <v>0.3768123403525889</v>
      </c>
    </row>
    <row r="23" spans="11:12" ht="12">
      <c r="K23" s="62">
        <f>modello!F275</f>
        <v>2021</v>
      </c>
      <c r="L23" s="63">
        <f>modello!BG275</f>
        <v>0.39609316629459745</v>
      </c>
    </row>
    <row r="24" spans="11:12" ht="12">
      <c r="K24" s="62">
        <f>modello!F276</f>
        <v>2022</v>
      </c>
      <c r="L24" s="63">
        <f>modello!BG276</f>
        <v>0.4152991336221987</v>
      </c>
    </row>
    <row r="25" spans="11:12" ht="12">
      <c r="K25" s="62">
        <f>modello!F277</f>
        <v>2023</v>
      </c>
      <c r="L25" s="63">
        <f>modello!BG277</f>
        <v>0.4344241713039798</v>
      </c>
    </row>
    <row r="26" spans="11:12" ht="12">
      <c r="K26" s="62">
        <f>modello!F278</f>
        <v>2024</v>
      </c>
      <c r="L26" s="63">
        <f>modello!BG278</f>
        <v>0.4534631309013597</v>
      </c>
    </row>
    <row r="27" spans="11:12" ht="12">
      <c r="K27" s="62">
        <f>modello!F279</f>
        <v>2025</v>
      </c>
      <c r="L27" s="63">
        <f>modello!BG279</f>
        <v>0.4724117416172191</v>
      </c>
    </row>
    <row r="28" spans="11:12" ht="12">
      <c r="K28" s="62">
        <f>modello!F280</f>
        <v>2026</v>
      </c>
      <c r="L28" s="63">
        <f>modello!BG280</f>
        <v>0.49126644707283695</v>
      </c>
    </row>
    <row r="29" spans="11:12" ht="12">
      <c r="K29" s="62">
        <f>modello!F281</f>
        <v>2027</v>
      </c>
      <c r="L29" s="63">
        <f>modello!BG281</f>
        <v>0.5100243151641468</v>
      </c>
    </row>
    <row r="30" spans="11:12" ht="12">
      <c r="K30" s="62">
        <f>modello!F282</f>
        <v>2028</v>
      </c>
      <c r="L30" s="63">
        <f>modello!BG282</f>
        <v>0.5286830164832801</v>
      </c>
    </row>
    <row r="31" spans="11:12" ht="12">
      <c r="K31" s="62">
        <f>modello!F283</f>
        <v>2029</v>
      </c>
      <c r="L31" s="63">
        <f>modello!BG283</f>
        <v>0.5472407468665157</v>
      </c>
    </row>
    <row r="32" spans="11:12" ht="12">
      <c r="K32" s="62">
        <f>modello!F284</f>
        <v>2030</v>
      </c>
      <c r="L32" s="63">
        <f>modello!BG284</f>
        <v>0.5656961396439959</v>
      </c>
    </row>
    <row r="33" spans="11:12" ht="12">
      <c r="K33" s="62">
        <f>modello!F285</f>
        <v>2031</v>
      </c>
      <c r="L33" s="63">
        <f>modello!BG285</f>
        <v>0.5840482314412352</v>
      </c>
    </row>
    <row r="34" spans="11:12" ht="12">
      <c r="K34" s="62">
        <f>modello!F286</f>
        <v>2032</v>
      </c>
      <c r="L34" s="63">
        <f>modello!BG286</f>
        <v>0.6022964271076618</v>
      </c>
    </row>
    <row r="35" spans="11:12" ht="12">
      <c r="K35" s="62">
        <f>modello!F287</f>
        <v>2033</v>
      </c>
      <c r="L35" s="63">
        <f>modello!BG287</f>
        <v>0.6204404401702404</v>
      </c>
    </row>
    <row r="36" spans="11:12" ht="12">
      <c r="K36" s="62">
        <f>modello!F288</f>
        <v>2034</v>
      </c>
      <c r="L36" s="63">
        <f>modello!BG288</f>
        <v>0.6384802526709776</v>
      </c>
    </row>
    <row r="37" spans="11:12" ht="12">
      <c r="K37" s="62">
        <f>modello!F289</f>
        <v>2035</v>
      </c>
      <c r="L37" s="63">
        <f>modello!BG289</f>
        <v>0.6564160929426712</v>
      </c>
    </row>
    <row r="38" spans="11:12" ht="12">
      <c r="K38" s="62">
        <f>modello!F290</f>
        <v>2036</v>
      </c>
      <c r="L38" s="63">
        <f>modello!BG290</f>
        <v>0.6742484015257004</v>
      </c>
    </row>
    <row r="39" spans="11:12" ht="12">
      <c r="K39" s="62">
        <f>modello!F291</f>
        <v>2037</v>
      </c>
      <c r="L39" s="63">
        <f>modello!BG291</f>
        <v>0.6919777966702969</v>
      </c>
    </row>
    <row r="40" spans="11:12" ht="12">
      <c r="K40" s="62">
        <f>modello!F292</f>
        <v>2038</v>
      </c>
      <c r="L40" s="63">
        <f>modello!BG292</f>
        <v>0.7096050545798003</v>
      </c>
    </row>
    <row r="41" spans="11:12" ht="12">
      <c r="K41" s="62">
        <f>modello!F293</f>
        <v>2039</v>
      </c>
      <c r="L41" s="63">
        <f>modello!BG293</f>
        <v>0.727131090136157</v>
      </c>
    </row>
    <row r="42" spans="11:12" ht="12">
      <c r="K42" s="62">
        <f>modello!F294</f>
        <v>2040</v>
      </c>
      <c r="L42" s="63">
        <f>modello!BG294</f>
        <v>0.7445569326644201</v>
      </c>
    </row>
    <row r="43" spans="11:12" ht="12">
      <c r="K43" s="62">
        <f>modello!F295</f>
        <v>2041</v>
      </c>
      <c r="L43" s="63">
        <f>modello!BG295</f>
        <v>0.7618837081467755</v>
      </c>
    </row>
    <row r="44" spans="11:12" ht="12">
      <c r="K44" s="62">
        <f>modello!F296</f>
        <v>2042</v>
      </c>
      <c r="L44" s="63">
        <f>modello!BG296</f>
        <v>0.7791126266861801</v>
      </c>
    </row>
    <row r="45" spans="11:12" ht="12">
      <c r="K45" s="62">
        <f>modello!F297</f>
        <v>2043</v>
      </c>
      <c r="L45" s="63">
        <f>modello!BG297</f>
        <v>0.7962449673377865</v>
      </c>
    </row>
    <row r="46" spans="11:12" ht="12">
      <c r="K46" s="62">
        <f>modello!F298</f>
        <v>2044</v>
      </c>
      <c r="L46" s="63">
        <f>modello!BG298</f>
        <v>0.8132820639031582</v>
      </c>
    </row>
    <row r="47" spans="11:12" ht="12">
      <c r="K47" s="62">
        <f>modello!F299</f>
        <v>2045</v>
      </c>
      <c r="L47" s="63">
        <f>modello!BG299</f>
        <v>0.8302252954101359</v>
      </c>
    </row>
    <row r="48" spans="11:12" ht="12">
      <c r="K48" s="62">
        <f>modello!F300</f>
        <v>2046</v>
      </c>
      <c r="L48" s="63">
        <f>modello!BG300</f>
        <v>0.8470760769140844</v>
      </c>
    </row>
    <row r="49" spans="11:12" ht="12">
      <c r="K49" s="62">
        <f>modello!F301</f>
        <v>2047</v>
      </c>
      <c r="L49" s="63">
        <f>modello!BG301</f>
        <v>0.8638358494800702</v>
      </c>
    </row>
    <row r="50" spans="11:12" ht="12">
      <c r="K50" s="62">
        <f>modello!F302</f>
        <v>2048</v>
      </c>
      <c r="L50" s="63">
        <f>modello!BG302</f>
        <v>0.880506072652776</v>
      </c>
    </row>
    <row r="51" spans="11:12" ht="12">
      <c r="K51" s="62">
        <f>modello!F303</f>
        <v>2049</v>
      </c>
      <c r="L51" s="63">
        <f>modello!BG303</f>
        <v>0.8970882186154483</v>
      </c>
    </row>
    <row r="52" spans="11:12" ht="12">
      <c r="K52" s="62">
        <f>modello!F304</f>
        <v>2050</v>
      </c>
      <c r="L52" s="63">
        <f>modello!BG304</f>
        <v>0.9135837657835328</v>
      </c>
    </row>
    <row r="53" spans="11:12" ht="12">
      <c r="K53" s="62">
        <f>modello!F305</f>
        <v>2051</v>
      </c>
      <c r="L53" s="63">
        <f>modello!BG305</f>
        <v>0.929994193161529</v>
      </c>
    </row>
    <row r="54" spans="11:12" ht="12">
      <c r="K54" s="62">
        <f>modello!F306</f>
        <v>2052</v>
      </c>
      <c r="L54" s="63">
        <f>modello!BG306</f>
        <v>0.9463209763512241</v>
      </c>
    </row>
    <row r="55" spans="11:12" ht="12">
      <c r="K55" s="62">
        <f>modello!F307</f>
        <v>2053</v>
      </c>
      <c r="L55" s="63">
        <f>modello!BG307</f>
        <v>0.9625655837041855</v>
      </c>
    </row>
    <row r="56" spans="11:12" ht="12">
      <c r="K56" s="62">
        <f>modello!F308</f>
        <v>2054</v>
      </c>
      <c r="L56" s="63">
        <f>modello!BG308</f>
        <v>0.9787294724732383</v>
      </c>
    </row>
    <row r="57" spans="11:12" ht="12">
      <c r="K57" s="62">
        <f>modello!F309</f>
        <v>2055</v>
      </c>
      <c r="L57" s="63">
        <f>modello!BG309</f>
        <v>0.9948140859979762</v>
      </c>
    </row>
    <row r="58" spans="11:12" ht="12">
      <c r="K58" s="62">
        <f>modello!F310</f>
        <v>2056</v>
      </c>
      <c r="L58" s="63">
        <f>modello!BG310</f>
        <v>1.0108208514585342</v>
      </c>
    </row>
    <row r="59" spans="11:12" ht="12">
      <c r="K59" s="62">
        <f>modello!F311</f>
        <v>2057</v>
      </c>
      <c r="L59" s="63">
        <f>modello!BG311</f>
        <v>1.0267511775285403</v>
      </c>
    </row>
    <row r="60" spans="11:12" ht="12">
      <c r="K60" s="62">
        <f>modello!F312</f>
        <v>2058</v>
      </c>
      <c r="L60" s="63">
        <f>modello!BG312</f>
        <v>1.042606452471403</v>
      </c>
    </row>
    <row r="61" spans="11:12" ht="12">
      <c r="K61" s="62">
        <f>modello!F313</f>
        <v>2059</v>
      </c>
      <c r="L61" s="63">
        <f>modello!BG313</f>
        <v>1.0583880428468369</v>
      </c>
    </row>
    <row r="62" spans="11:12" ht="12">
      <c r="K62" s="62">
        <f>modello!F314</f>
        <v>2060</v>
      </c>
      <c r="L62" s="63">
        <f>modello!BG314</f>
        <v>1.0740972922643788</v>
      </c>
    </row>
    <row r="63" spans="11:12" ht="12">
      <c r="K63" s="62">
        <f>modello!F315</f>
        <v>2061</v>
      </c>
      <c r="L63" s="63">
        <f>modello!BG315</f>
        <v>1.0897355202406507</v>
      </c>
    </row>
    <row r="64" spans="11:12" ht="12">
      <c r="K64" s="62">
        <f>modello!F316</f>
        <v>2062</v>
      </c>
      <c r="L64" s="63">
        <f>modello!BG316</f>
        <v>1.1053040214941492</v>
      </c>
    </row>
    <row r="65" spans="11:12" ht="12">
      <c r="K65" s="62">
        <f>modello!F317</f>
        <v>2063</v>
      </c>
      <c r="L65" s="63">
        <f>modello!BG317</f>
        <v>1.1208040654218632</v>
      </c>
    </row>
    <row r="66" spans="11:12" ht="12">
      <c r="K66" s="62">
        <f>modello!F318</f>
        <v>2064</v>
      </c>
      <c r="L66" s="63">
        <f>modello!BG318</f>
        <v>1.1362368955679436</v>
      </c>
    </row>
    <row r="67" spans="11:12" ht="12">
      <c r="K67" s="62">
        <f>modello!F319</f>
        <v>2065</v>
      </c>
      <c r="L67" s="63">
        <f>modello!BG319</f>
        <v>1.1516037293200996</v>
      </c>
    </row>
    <row r="68" spans="11:12" ht="12">
      <c r="K68" s="62">
        <f>modello!F320</f>
        <v>2066</v>
      </c>
      <c r="L68" s="63">
        <f>modello!BG320</f>
        <v>1.1669057578253759</v>
      </c>
    </row>
    <row r="69" spans="11:12" ht="12">
      <c r="K69" s="62">
        <f>modello!F321</f>
        <v>2067</v>
      </c>
      <c r="L69" s="63">
        <f>modello!BG321</f>
        <v>1.182144145908202</v>
      </c>
    </row>
    <row r="70" spans="11:12" ht="12">
      <c r="K70" s="62">
        <f>modello!F322</f>
        <v>2068</v>
      </c>
      <c r="L70" s="63">
        <f>modello!BG322</f>
        <v>1.197320032064899</v>
      </c>
    </row>
    <row r="71" spans="11:12" ht="12">
      <c r="K71" s="62">
        <f>modello!F323</f>
        <v>2069</v>
      </c>
      <c r="L71" s="63">
        <f>modello!BG323</f>
        <v>1.2124345286362617</v>
      </c>
    </row>
    <row r="72" spans="11:12" ht="12">
      <c r="K72" s="62">
        <f>modello!F324</f>
        <v>2070</v>
      </c>
      <c r="L72" s="63">
        <f>modello!BG324</f>
        <v>1.227488722022772</v>
      </c>
    </row>
    <row r="73" spans="11:12" ht="12">
      <c r="K73" s="62">
        <f>modello!F325</f>
        <v>2071</v>
      </c>
      <c r="L73" s="63">
        <f>modello!BG325</f>
        <v>1.2424836729026987</v>
      </c>
    </row>
    <row r="74" spans="11:12" ht="12">
      <c r="K74" s="62">
        <f>modello!F326</f>
        <v>2072</v>
      </c>
      <c r="L74" s="63">
        <f>modello!BG326</f>
        <v>1.2574204165560914</v>
      </c>
    </row>
    <row r="75" spans="11:12" ht="12">
      <c r="K75" s="62">
        <f>modello!F327</f>
        <v>2073</v>
      </c>
      <c r="L75" s="63">
        <f>modello!BG327</f>
        <v>1.2722999632549556</v>
      </c>
    </row>
    <row r="76" spans="11:12" ht="12">
      <c r="K76" s="62">
        <f>modello!F328</f>
        <v>2074</v>
      </c>
      <c r="L76" s="63">
        <f>modello!BG328</f>
        <v>1.2871232986389451</v>
      </c>
    </row>
    <row r="77" spans="11:12" ht="12">
      <c r="K77" s="62">
        <f>modello!F329</f>
        <v>2075</v>
      </c>
      <c r="L77" s="63">
        <f>modello!BG329</f>
        <v>1.3018913841318789</v>
      </c>
    </row>
    <row r="78" spans="11:12" ht="12">
      <c r="K78" s="62">
        <f>modello!F330</f>
        <v>2076</v>
      </c>
      <c r="L78" s="63">
        <f>modello!BG330</f>
        <v>1.3166051574212372</v>
      </c>
    </row>
    <row r="79" spans="11:12" ht="12">
      <c r="K79" s="62">
        <f>modello!F331</f>
        <v>2077</v>
      </c>
      <c r="L79" s="63">
        <f>modello!BG331</f>
        <v>1.331265532931942</v>
      </c>
    </row>
    <row r="80" spans="11:12" ht="12">
      <c r="K80" s="62">
        <f>modello!F332</f>
        <v>2078</v>
      </c>
      <c r="L80" s="63">
        <f>modello!BG332</f>
        <v>1.3458734022997032</v>
      </c>
    </row>
    <row r="81" spans="11:12" ht="12">
      <c r="K81" s="62">
        <f>modello!F333</f>
        <v>2079</v>
      </c>
      <c r="L81" s="63">
        <f>modello!BG333</f>
        <v>1.3604296348865257</v>
      </c>
    </row>
    <row r="82" spans="11:12" ht="12">
      <c r="K82" s="62">
        <f>modello!F334</f>
        <v>2080</v>
      </c>
      <c r="L82" s="63">
        <f>modello!BG334</f>
        <v>1.3749350783030787</v>
      </c>
    </row>
    <row r="83" spans="11:12" ht="12">
      <c r="K83" s="62">
        <f>modello!F335</f>
        <v>2081</v>
      </c>
      <c r="L83" s="63">
        <f>modello!BG335</f>
        <v>1.3893905589132773</v>
      </c>
    </row>
    <row r="84" spans="11:12" ht="12">
      <c r="K84" s="62">
        <f>modello!F336</f>
        <v>2082</v>
      </c>
      <c r="L84" s="63">
        <f>modello!BG336</f>
        <v>1.4037968823556788</v>
      </c>
    </row>
    <row r="85" spans="11:12" ht="12">
      <c r="K85" s="62">
        <f>modello!F337</f>
        <v>2083</v>
      </c>
      <c r="L85" s="63">
        <f>modello!BG337</f>
        <v>1.4181548340776342</v>
      </c>
    </row>
    <row r="86" spans="11:12" ht="12">
      <c r="K86" s="62">
        <f>modello!F338</f>
        <v>2084</v>
      </c>
      <c r="L86" s="63">
        <f>modello!BG338</f>
        <v>1.432465179850278</v>
      </c>
    </row>
    <row r="87" spans="11:12" ht="12">
      <c r="K87" s="62">
        <f>modello!F339</f>
        <v>2085</v>
      </c>
      <c r="L87" s="63">
        <f>modello!BG339</f>
        <v>1.4467286662797736</v>
      </c>
    </row>
    <row r="88" spans="11:12" ht="12">
      <c r="K88" s="62">
        <f>modello!F340</f>
        <v>2086</v>
      </c>
      <c r="L88" s="63">
        <f>modello!BG340</f>
        <v>1.4609460213291083</v>
      </c>
    </row>
    <row r="89" spans="11:12" ht="12">
      <c r="K89" s="62">
        <f>modello!F341</f>
        <v>2087</v>
      </c>
      <c r="L89" s="63">
        <f>modello!BG341</f>
        <v>1.4751179548262396</v>
      </c>
    </row>
    <row r="90" spans="11:12" ht="12">
      <c r="K90" s="62">
        <f>modello!F342</f>
        <v>2088</v>
      </c>
      <c r="L90" s="63">
        <f>modello!BG342</f>
        <v>1.4892451589566085</v>
      </c>
    </row>
    <row r="91" spans="11:12" ht="12">
      <c r="K91" s="62">
        <f>modello!F343</f>
        <v>2089</v>
      </c>
      <c r="L91" s="63">
        <f>modello!BG343</f>
        <v>1.5033283087588163</v>
      </c>
    </row>
    <row r="92" spans="11:12" ht="12">
      <c r="K92" s="62">
        <f>modello!F344</f>
        <v>2090</v>
      </c>
      <c r="L92" s="63">
        <f>modello!BG344</f>
        <v>1.5173680626127186</v>
      </c>
    </row>
    <row r="93" spans="11:12" ht="12">
      <c r="K93" s="62">
        <f>modello!F345</f>
        <v>2091</v>
      </c>
      <c r="L93" s="63">
        <f>modello!BG345</f>
        <v>1.531365062707985</v>
      </c>
    </row>
    <row r="94" spans="11:12" ht="12">
      <c r="K94" s="62">
        <f>modello!F346</f>
        <v>2092</v>
      </c>
      <c r="L94" s="63">
        <f>modello!BG346</f>
        <v>1.5453199355073648</v>
      </c>
    </row>
    <row r="95" spans="11:12" ht="12">
      <c r="K95" s="62">
        <f>modello!F347</f>
        <v>2093</v>
      </c>
      <c r="L95" s="63">
        <f>modello!BG347</f>
        <v>1.559233292205725</v>
      </c>
    </row>
    <row r="96" spans="11:12" ht="12">
      <c r="K96" s="62">
        <f>modello!F348</f>
        <v>2094</v>
      </c>
      <c r="L96" s="63">
        <f>modello!BG348</f>
        <v>1.5731057291710775</v>
      </c>
    </row>
    <row r="97" spans="11:12" ht="12">
      <c r="K97" s="62">
        <f>modello!F349</f>
        <v>2095</v>
      </c>
      <c r="L97" s="63">
        <f>modello!BG349</f>
        <v>1.5869378283736209</v>
      </c>
    </row>
    <row r="98" spans="11:12" ht="12">
      <c r="K98" s="62">
        <f>modello!F350</f>
        <v>2096</v>
      </c>
      <c r="L98" s="63">
        <f>modello!BG350</f>
        <v>1.6007301578107895</v>
      </c>
    </row>
    <row r="99" spans="11:12" ht="12">
      <c r="K99" s="62">
        <f>modello!F351</f>
        <v>2097</v>
      </c>
      <c r="L99" s="63">
        <f>modello!BG351</f>
        <v>1.614483271918153</v>
      </c>
    </row>
    <row r="100" spans="11:12" ht="12">
      <c r="K100" s="62">
        <f>modello!F352</f>
        <v>2098</v>
      </c>
      <c r="L100" s="63">
        <f>modello!BG352</f>
        <v>1.6281977119647564</v>
      </c>
    </row>
    <row r="101" spans="11:12" ht="12">
      <c r="K101" s="62">
        <f>modello!F353</f>
        <v>2099</v>
      </c>
      <c r="L101" s="63">
        <f>modello!BG353</f>
        <v>1.6418740064425588</v>
      </c>
    </row>
    <row r="102" spans="11:12" ht="12">
      <c r="K102" s="62">
        <f>modello!F354</f>
        <v>2100</v>
      </c>
      <c r="L102" s="63">
        <f>modello!BG354</f>
        <v>1.6555126714455877</v>
      </c>
    </row>
    <row r="103" ht="12">
      <c r="L103" s="63"/>
    </row>
  </sheetData>
  <sheetProtection password="C680" sheet="1" objects="1" scenarios="1" selectLockedCells="1"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6" sqref="K16"/>
    </sheetView>
  </sheetViews>
  <sheetFormatPr defaultColWidth="9.00390625" defaultRowHeight="15"/>
  <cols>
    <col min="1" max="16384" width="9.00390625" style="50" customWidth="1"/>
  </cols>
  <sheetData/>
  <sheetProtection password="C680" sheet="1" objects="1" scenarios="1" selectLockedCells="1"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M28" sqref="M28"/>
    </sheetView>
  </sheetViews>
  <sheetFormatPr defaultColWidth="9.00390625" defaultRowHeight="15"/>
  <cols>
    <col min="1" max="16384" width="9.00390625" style="50" customWidth="1"/>
  </cols>
  <sheetData/>
  <sheetProtection password="C680" sheet="1" objects="1" scenarios="1" selectLockedCells="1"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0" sqref="L10"/>
    </sheetView>
  </sheetViews>
  <sheetFormatPr defaultColWidth="9.00390625" defaultRowHeight="15"/>
  <cols>
    <col min="1" max="16384" width="9.00390625" style="50" customWidth="1"/>
  </cols>
  <sheetData/>
  <sheetProtection password="C680" sheet="1" objects="1" scenarios="1" selectLockedCells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Riccardo</dc:creator>
  <cp:keywords/>
  <dc:description/>
  <cp:lastModifiedBy>guariso</cp:lastModifiedBy>
  <dcterms:created xsi:type="dcterms:W3CDTF">2008-04-30T09:44:16Z</dcterms:created>
  <dcterms:modified xsi:type="dcterms:W3CDTF">2009-03-09T12:39:11Z</dcterms:modified>
  <cp:category/>
  <cp:version/>
  <cp:contentType/>
  <cp:contentStatus/>
</cp:coreProperties>
</file>